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shadservice.com\Desktop\"/>
    </mc:Choice>
  </mc:AlternateContent>
  <xr:revisionPtr revIDLastSave="0" documentId="13_ncr:1_{85B5CBE6-871A-4277-9FB5-9E3362CCB90A}" xr6:coauthVersionLast="36" xr6:coauthVersionMax="36" xr10:uidLastSave="{00000000-0000-0000-0000-000000000000}"/>
  <bookViews>
    <workbookView xWindow="0" yWindow="0" windowWidth="20490" windowHeight="7545" activeTab="1" xr2:uid="{00000000-000D-0000-FFFF-FFFF00000000}"/>
  </bookViews>
  <sheets>
    <sheet name="جدول داده ها" sheetId="2" r:id="rId1"/>
    <sheet name="جدول حقوق ودستمزد" sheetId="1" r:id="rId2"/>
    <sheet name="فیش حقوقی " sheetId="3" r:id="rId3"/>
    <sheet name="اقلام حقوق و دستمزد" sheetId="4" state="hidden" r:id="rId4"/>
  </sheets>
  <definedNames>
    <definedName name="_xlnm.Print_Area" localSheetId="2">'فیش حقوقی '!$A$3:$K$17</definedName>
  </definedNames>
  <calcPr calcId="179021"/>
</workbook>
</file>

<file path=xl/calcChain.xml><?xml version="1.0" encoding="utf-8"?>
<calcChain xmlns="http://schemas.openxmlformats.org/spreadsheetml/2006/main">
  <c r="M7" i="1" l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K6" i="1"/>
  <c r="J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6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6" i="1"/>
  <c r="E6" i="1"/>
  <c r="D6" i="1"/>
  <c r="B3" i="4" l="1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4" i="2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6" i="1"/>
  <c r="B3" i="3"/>
  <c r="D16" i="3"/>
  <c r="D12" i="3"/>
  <c r="D15" i="3"/>
  <c r="D11" i="3"/>
  <c r="D7" i="3"/>
  <c r="D14" i="3"/>
  <c r="D6" i="3"/>
  <c r="D13" i="3"/>
  <c r="D9" i="3"/>
  <c r="D3" i="3"/>
  <c r="K5" i="1" l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6" i="1"/>
  <c r="G5" i="2"/>
  <c r="F7" i="1" s="1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4" i="2"/>
  <c r="R5" i="1"/>
  <c r="J1" i="1"/>
  <c r="O18" i="2"/>
  <c r="O19" i="2"/>
  <c r="O20" i="2"/>
  <c r="O21" i="2"/>
  <c r="O22" i="2"/>
  <c r="R23" i="1"/>
  <c r="O5" i="2"/>
  <c r="O6" i="2"/>
  <c r="O7" i="2"/>
  <c r="R9" i="1" s="1"/>
  <c r="O8" i="2"/>
  <c r="O9" i="2"/>
  <c r="R11" i="1" s="1"/>
  <c r="O10" i="2"/>
  <c r="O11" i="2"/>
  <c r="R13" i="1" s="1"/>
  <c r="O12" i="2"/>
  <c r="O13" i="2"/>
  <c r="R15" i="1" s="1"/>
  <c r="O14" i="2"/>
  <c r="O15" i="2"/>
  <c r="R17" i="1" s="1"/>
  <c r="O16" i="2"/>
  <c r="O17" i="2"/>
  <c r="R19" i="1" s="1"/>
  <c r="O4" i="2"/>
  <c r="R6" i="1" s="1"/>
  <c r="I6" i="3"/>
  <c r="R21" i="1" l="1"/>
  <c r="R24" i="1"/>
  <c r="R22" i="1"/>
  <c r="R20" i="1"/>
  <c r="R18" i="1"/>
  <c r="R16" i="1"/>
  <c r="R14" i="1"/>
  <c r="R12" i="1"/>
  <c r="R10" i="1"/>
  <c r="R8" i="1"/>
  <c r="R7" i="1"/>
  <c r="N24" i="1"/>
  <c r="Q24" i="1" s="1"/>
  <c r="N20" i="1"/>
  <c r="Q20" i="1" s="1"/>
  <c r="N16" i="1"/>
  <c r="Q16" i="1" s="1"/>
  <c r="N12" i="1"/>
  <c r="Q12" i="1" s="1"/>
  <c r="N19" i="1"/>
  <c r="Q19" i="1" s="1"/>
  <c r="N11" i="1"/>
  <c r="Q11" i="1" s="1"/>
  <c r="M25" i="1"/>
  <c r="N21" i="1"/>
  <c r="Q21" i="1" s="1"/>
  <c r="N17" i="1"/>
  <c r="Q17" i="1" s="1"/>
  <c r="N9" i="1"/>
  <c r="Q9" i="1" s="1"/>
  <c r="N22" i="1"/>
  <c r="Q22" i="1" s="1"/>
  <c r="N18" i="1"/>
  <c r="Q18" i="1" s="1"/>
  <c r="N14" i="1"/>
  <c r="Q14" i="1" s="1"/>
  <c r="K25" i="1"/>
  <c r="J25" i="1"/>
  <c r="H25" i="1"/>
  <c r="N6" i="1"/>
  <c r="Q6" i="1" s="1"/>
  <c r="F25" i="1"/>
  <c r="D10" i="3"/>
  <c r="O13" i="1" l="1"/>
  <c r="S13" i="1" s="1"/>
  <c r="N13" i="1"/>
  <c r="Q13" i="1" s="1"/>
  <c r="O8" i="1"/>
  <c r="S8" i="1" s="1"/>
  <c r="N8" i="1"/>
  <c r="Q8" i="1" s="1"/>
  <c r="P10" i="1"/>
  <c r="N10" i="1"/>
  <c r="Q10" i="1" s="1"/>
  <c r="P15" i="1"/>
  <c r="N15" i="1"/>
  <c r="O23" i="1"/>
  <c r="S23" i="1" s="1"/>
  <c r="N23" i="1"/>
  <c r="Q23" i="1" s="1"/>
  <c r="O7" i="1"/>
  <c r="S7" i="1" s="1"/>
  <c r="N7" i="1"/>
  <c r="Q7" i="1" s="1"/>
  <c r="P9" i="1"/>
  <c r="L25" i="1"/>
  <c r="R25" i="1"/>
  <c r="T7" i="1"/>
  <c r="O22" i="1"/>
  <c r="P21" i="1"/>
  <c r="O21" i="1"/>
  <c r="O19" i="1"/>
  <c r="P19" i="1"/>
  <c r="P11" i="1"/>
  <c r="O11" i="1"/>
  <c r="P13" i="1"/>
  <c r="P16" i="1"/>
  <c r="O17" i="1"/>
  <c r="O16" i="1"/>
  <c r="O15" i="1"/>
  <c r="P18" i="1"/>
  <c r="P12" i="1"/>
  <c r="P14" i="1"/>
  <c r="O12" i="1"/>
  <c r="P8" i="1"/>
  <c r="P23" i="1"/>
  <c r="O14" i="1"/>
  <c r="O20" i="1"/>
  <c r="O24" i="1"/>
  <c r="P20" i="1"/>
  <c r="P22" i="1"/>
  <c r="P24" i="1"/>
  <c r="O9" i="1"/>
  <c r="P17" i="1"/>
  <c r="O10" i="1"/>
  <c r="O18" i="1"/>
  <c r="P6" i="1"/>
  <c r="P7" i="1"/>
  <c r="I25" i="1"/>
  <c r="G25" i="1"/>
  <c r="O6" i="1"/>
  <c r="D8" i="3"/>
  <c r="T13" i="1" l="1"/>
  <c r="T8" i="1"/>
  <c r="T23" i="1"/>
  <c r="Q15" i="1"/>
  <c r="S18" i="1"/>
  <c r="T18" i="1"/>
  <c r="U18" i="1" s="1"/>
  <c r="V18" i="1" s="1"/>
  <c r="S9" i="1"/>
  <c r="T9" i="1"/>
  <c r="U9" i="1" s="1"/>
  <c r="V9" i="1" s="1"/>
  <c r="S20" i="1"/>
  <c r="T20" i="1"/>
  <c r="U20" i="1" s="1"/>
  <c r="V20" i="1" s="1"/>
  <c r="S14" i="1"/>
  <c r="T14" i="1"/>
  <c r="U14" i="1" s="1"/>
  <c r="V14" i="1" s="1"/>
  <c r="U13" i="1"/>
  <c r="V13" i="1" s="1"/>
  <c r="S12" i="1"/>
  <c r="T12" i="1"/>
  <c r="U12" i="1" s="1"/>
  <c r="V12" i="1" s="1"/>
  <c r="S16" i="1"/>
  <c r="T16" i="1"/>
  <c r="U16" i="1" s="1"/>
  <c r="V16" i="1" s="1"/>
  <c r="S21" i="1"/>
  <c r="T21" i="1"/>
  <c r="U21" i="1" s="1"/>
  <c r="V21" i="1" s="1"/>
  <c r="S22" i="1"/>
  <c r="T22" i="1"/>
  <c r="U22" i="1" s="1"/>
  <c r="S6" i="1"/>
  <c r="T6" i="1"/>
  <c r="U6" i="1" s="1"/>
  <c r="Q25" i="1"/>
  <c r="S10" i="1"/>
  <c r="T10" i="1"/>
  <c r="U10" i="1" s="1"/>
  <c r="V10" i="1" s="1"/>
  <c r="S24" i="1"/>
  <c r="T24" i="1"/>
  <c r="U24" i="1" s="1"/>
  <c r="V24" i="1" s="1"/>
  <c r="U23" i="1"/>
  <c r="V23" i="1" s="1"/>
  <c r="S15" i="1"/>
  <c r="T15" i="1"/>
  <c r="S17" i="1"/>
  <c r="T17" i="1"/>
  <c r="U17" i="1" s="1"/>
  <c r="V17" i="1" s="1"/>
  <c r="S11" i="1"/>
  <c r="T11" i="1"/>
  <c r="U11" i="1" s="1"/>
  <c r="V11" i="1" s="1"/>
  <c r="S19" i="1"/>
  <c r="T19" i="1"/>
  <c r="U19" i="1" s="1"/>
  <c r="V19" i="1" s="1"/>
  <c r="U8" i="1"/>
  <c r="V8" i="1" s="1"/>
  <c r="V22" i="1"/>
  <c r="O25" i="1"/>
  <c r="D17" i="3"/>
  <c r="N25" i="1"/>
  <c r="P25" i="1"/>
  <c r="I7" i="3"/>
  <c r="I8" i="3"/>
  <c r="U15" i="1" l="1"/>
  <c r="V15" i="1" s="1"/>
  <c r="U7" i="1"/>
  <c r="V7" i="1" s="1"/>
  <c r="S25" i="1"/>
  <c r="V6" i="1"/>
  <c r="T25" i="1"/>
  <c r="I10" i="3"/>
  <c r="I13" i="3" s="1"/>
  <c r="U25" i="1" l="1"/>
  <c r="V2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pasargad</author>
  </authors>
  <commentList>
    <comment ref="N4" authorId="0" shapeId="0" xr:uid="{00000000-0006-0000-0100-000001000000}">
      <text>
        <r>
          <rPr>
            <b/>
            <i/>
            <sz val="10"/>
            <color indexed="10"/>
            <rFont val="Myriad Web Pro Condensed"/>
            <family val="2"/>
          </rPr>
          <t xml:space="preserve">     نکته : حق  ماموریت   مشمول درآمد مالیات نمی باشد</t>
        </r>
        <r>
          <rPr>
            <b/>
            <i/>
            <sz val="10"/>
            <color indexed="10"/>
            <rFont val="Calibri"/>
            <family val="2"/>
            <scheme val="minor"/>
          </rPr>
          <t xml:space="preserve">     </t>
        </r>
      </text>
    </comment>
    <comment ref="O4" authorId="0" shapeId="0" xr:uid="{00000000-0006-0000-0100-000002000000}">
      <text>
        <r>
          <rPr>
            <b/>
            <sz val="10"/>
            <color indexed="12"/>
            <rFont val="Calibri"/>
            <family val="2"/>
            <scheme val="minor"/>
          </rPr>
          <t>نکته : حق اولاد وحق ماموریت  و حق بن و خوار بارمشمول درآمد بیمه نمی باشد</t>
        </r>
        <r>
          <rPr>
            <sz val="8"/>
            <color indexed="81"/>
            <rFont val="Calibri"/>
            <family val="2"/>
            <scheme val="minor"/>
          </rPr>
          <t xml:space="preserve">
</t>
        </r>
      </text>
    </comment>
    <comment ref="L5" authorId="0" shapeId="0" xr:uid="{00000000-0006-0000-0100-000003000000}">
      <text>
        <r>
          <rPr>
            <b/>
            <sz val="8"/>
            <color indexed="81"/>
            <rFont val="Tahoma"/>
            <family val="2"/>
          </rPr>
          <t>حق ماموریت از پرداخت مالیات معاف می باشد</t>
        </r>
      </text>
    </comment>
    <comment ref="S5" authorId="0" shapeId="0" xr:uid="{00000000-0006-0000-0100-000004000000}">
      <text>
        <r>
          <rPr>
            <sz val="8"/>
            <color indexed="81"/>
            <rFont val="Tahoma"/>
            <family val="2"/>
          </rPr>
          <t xml:space="preserve">(بیمه 23 % مشمول بیمه )
 حق  بن و خوار بارحق اولاد وحق ماموریت مشمول درآمد بیمه نمی باشد
</t>
        </r>
      </text>
    </comment>
    <comment ref="T5" authorId="0" shapeId="0" xr:uid="{00000000-0006-0000-0100-000005000000}">
      <text>
        <r>
          <rPr>
            <sz val="8"/>
            <color indexed="81"/>
            <rFont val="Tahoma"/>
            <family val="2"/>
          </rPr>
          <t xml:space="preserve">(بیمه 7%  --  مشمول بیمه  حق اولاد و حق بن وخوار بارو حق ماموریت مشمول درآمد بیمه نمی باشد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EHSAN</author>
  </authors>
  <commentList>
    <comment ref="I9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 xml:space="preserve">مستقیما در فیش وارد می شود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<sst xmlns="http://schemas.openxmlformats.org/spreadsheetml/2006/main" count="130" uniqueCount="111">
  <si>
    <t>نام</t>
  </si>
  <si>
    <t xml:space="preserve">نام خانوادگی </t>
  </si>
  <si>
    <t xml:space="preserve">کد پرسنلی </t>
  </si>
  <si>
    <t xml:space="preserve">حقوق پایه </t>
  </si>
  <si>
    <t xml:space="preserve">حق مسکن </t>
  </si>
  <si>
    <t xml:space="preserve">حق اولاد </t>
  </si>
  <si>
    <t xml:space="preserve">مشخصات پرسنلی </t>
  </si>
  <si>
    <t xml:space="preserve">اضافه کاری </t>
  </si>
  <si>
    <t xml:space="preserve">عادی </t>
  </si>
  <si>
    <t>پــــــــــرداخــــــــــتــــــــــها</t>
  </si>
  <si>
    <t xml:space="preserve">سایر مزایا </t>
  </si>
  <si>
    <t>کـــــــــــــــــــســـــــــــــور</t>
  </si>
  <si>
    <t>بیمه سهم کارمند</t>
  </si>
  <si>
    <t xml:space="preserve">بیمه سهم کارفرما </t>
  </si>
  <si>
    <t>مالیات متعلق</t>
  </si>
  <si>
    <t>جمع پرداختها</t>
  </si>
  <si>
    <t xml:space="preserve">حسین </t>
  </si>
  <si>
    <t>داریوش</t>
  </si>
  <si>
    <t xml:space="preserve">حسن </t>
  </si>
  <si>
    <t>حق ماموریت</t>
  </si>
  <si>
    <t>مشمول مالیات</t>
  </si>
  <si>
    <t xml:space="preserve">تعداد اولاد </t>
  </si>
  <si>
    <t>حق اولاد</t>
  </si>
  <si>
    <t xml:space="preserve">ساعت کارکرد عادی </t>
  </si>
  <si>
    <t xml:space="preserve">جــمــع حــــقــوق و مــزایـــا </t>
  </si>
  <si>
    <t>جمع کـــــســـــــور</t>
  </si>
  <si>
    <t xml:space="preserve">ساعت کارکرد اضافه کاری  </t>
  </si>
  <si>
    <t xml:space="preserve">روزهای ماموریت </t>
  </si>
  <si>
    <t xml:space="preserve">مبلغ اضافه کاری </t>
  </si>
  <si>
    <t>بن وخواربار</t>
  </si>
  <si>
    <t>حق جذب</t>
  </si>
  <si>
    <t>سایر مزایا</t>
  </si>
  <si>
    <t xml:space="preserve">حق ماموریت </t>
  </si>
  <si>
    <t>پـــــرداخــتــهـــا</t>
  </si>
  <si>
    <t>کــــــــــــــــــــــسور</t>
  </si>
  <si>
    <t>مــــســــــــاعده</t>
  </si>
  <si>
    <t xml:space="preserve">ما لیات متعلق </t>
  </si>
  <si>
    <t xml:space="preserve">سایر کسور </t>
  </si>
  <si>
    <t>خــــالـص پــرداخـتی</t>
  </si>
  <si>
    <t>بن و خواروبار</t>
  </si>
  <si>
    <t xml:space="preserve">بن وخواروبار </t>
  </si>
  <si>
    <t>محمود</t>
  </si>
  <si>
    <t xml:space="preserve">کسور </t>
  </si>
  <si>
    <t>جدول داده ها</t>
  </si>
  <si>
    <t>فیش حقوقی</t>
  </si>
  <si>
    <t>جدول حقوق ودستمزد</t>
  </si>
  <si>
    <t xml:space="preserve">درآمد مشمول بیمه </t>
  </si>
  <si>
    <t>جـــــــــمـــــــــع  کـــــل</t>
  </si>
  <si>
    <t xml:space="preserve"> ماموریت انجام شده</t>
  </si>
  <si>
    <t>ساعت</t>
  </si>
  <si>
    <t>روز</t>
  </si>
  <si>
    <t>حقوق و دستمزد مبنا</t>
  </si>
  <si>
    <t>مساعده/اقساط وام /سایر کسورات</t>
  </si>
  <si>
    <t xml:space="preserve"> کارکرد </t>
  </si>
  <si>
    <t>اضافه کار (ساعت)</t>
  </si>
  <si>
    <t xml:space="preserve">روز </t>
  </si>
  <si>
    <t>نازنین</t>
  </si>
  <si>
    <t>سورنا</t>
  </si>
  <si>
    <t>حسام الدین</t>
  </si>
  <si>
    <t>آذری جهرمی</t>
  </si>
  <si>
    <t xml:space="preserve">جلال </t>
  </si>
  <si>
    <t>همتی</t>
  </si>
  <si>
    <t>اقبالی</t>
  </si>
  <si>
    <t>ستاری</t>
  </si>
  <si>
    <t>محمد جواد</t>
  </si>
  <si>
    <t>فریدون</t>
  </si>
  <si>
    <t>روحانی</t>
  </si>
  <si>
    <t>یکتا</t>
  </si>
  <si>
    <t>جواد</t>
  </si>
  <si>
    <t>ظریف</t>
  </si>
  <si>
    <t>صادق</t>
  </si>
  <si>
    <t>زیباکلام</t>
  </si>
  <si>
    <t>زاغری</t>
  </si>
  <si>
    <t>نیلوفر</t>
  </si>
  <si>
    <t>ابتکار</t>
  </si>
  <si>
    <t>سیامک</t>
  </si>
  <si>
    <t>نمازی</t>
  </si>
  <si>
    <t>شهره</t>
  </si>
  <si>
    <t>آغ داش لو</t>
  </si>
  <si>
    <t>سمیه</t>
  </si>
  <si>
    <t>نرو</t>
  </si>
  <si>
    <t>آشنا</t>
  </si>
  <si>
    <t>صادقی</t>
  </si>
  <si>
    <t>ابراهیم</t>
  </si>
  <si>
    <t>رییسی</t>
  </si>
  <si>
    <t>نیک آهنگ</t>
  </si>
  <si>
    <t>کوثر</t>
  </si>
  <si>
    <t xml:space="preserve">سیاوش </t>
  </si>
  <si>
    <t>اردلان</t>
  </si>
  <si>
    <t>حقوق روزانه</t>
  </si>
  <si>
    <t xml:space="preserve"> کارکرد</t>
  </si>
  <si>
    <t>شرکت مملکت</t>
  </si>
  <si>
    <t xml:space="preserve">خالــص پرداختی </t>
  </si>
  <si>
    <t xml:space="preserve">جمع کسور </t>
  </si>
  <si>
    <t>اقلام حقوق و دستمزد</t>
  </si>
  <si>
    <t>مبلغ</t>
  </si>
  <si>
    <t>حقوق پایه روزانه</t>
  </si>
  <si>
    <t>حق مسکن</t>
  </si>
  <si>
    <t>حق سنوات</t>
  </si>
  <si>
    <t>بن خواروبار</t>
  </si>
  <si>
    <t>سقف معافیت مالیاتی(ماهیانه)</t>
  </si>
  <si>
    <t>نرخ مالیات (پله اول)</t>
  </si>
  <si>
    <t>نرخ مالیات (پله چهارم)</t>
  </si>
  <si>
    <t>نرخ مالیات (پله سوم)</t>
  </si>
  <si>
    <t>نرخ مالیات (پله دوم)</t>
  </si>
  <si>
    <t>سقف جدول مالیاتی(پله اول)</t>
  </si>
  <si>
    <t>سقف جدول مالیاتی(پله دوم)</t>
  </si>
  <si>
    <t>سقف جدول مالیاتی(پله سوم)</t>
  </si>
  <si>
    <t>هر ساعت اضافه کاری</t>
  </si>
  <si>
    <t>ماه</t>
  </si>
  <si>
    <t>شماره پرسنلی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</si>
</sst>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2" x14ac:knownFonts="1">
    <font>
      <sz val="11"/>
      <color theme="1"/>
      <name val="Calibri"/>
      <family val="2"/>
      <charset val="178"/>
      <scheme val="minor"/>
    </font>
    <font>
      <b/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2"/>
      <color theme="1"/>
      <name val="Arial"/>
      <family val="2"/>
    </font>
    <font>
      <b/>
      <i/>
      <sz val="20"/>
      <name val="Calibri"/>
      <family val="2"/>
      <scheme val="minor"/>
    </font>
    <font>
      <u/>
      <sz val="11"/>
      <color theme="10"/>
      <name val="Arial"/>
      <family val="2"/>
      <charset val="178"/>
    </font>
    <font>
      <sz val="8"/>
      <color indexed="81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i/>
      <sz val="10"/>
      <color indexed="10"/>
      <name val="Calibri"/>
      <family val="2"/>
      <scheme val="minor"/>
    </font>
    <font>
      <b/>
      <i/>
      <sz val="10"/>
      <color indexed="10"/>
      <name val="Myriad Web Pro Condensed"/>
      <family val="2"/>
    </font>
    <font>
      <b/>
      <i/>
      <u/>
      <sz val="12"/>
      <color rgb="FF00B0F0"/>
      <name val="Arial"/>
      <family val="2"/>
      <charset val="178"/>
    </font>
    <font>
      <b/>
      <i/>
      <u/>
      <sz val="12"/>
      <color rgb="FFFFC000"/>
      <name val="Arial"/>
      <family val="2"/>
      <charset val="178"/>
    </font>
    <font>
      <b/>
      <i/>
      <u/>
      <sz val="12"/>
      <color rgb="FF7030A0"/>
      <name val="Arial"/>
      <family val="2"/>
      <charset val="178"/>
    </font>
    <font>
      <sz val="11"/>
      <color theme="1"/>
      <name val="B Compset"/>
      <charset val="178"/>
    </font>
    <font>
      <b/>
      <u/>
      <sz val="11"/>
      <color rgb="FF7030A0"/>
      <name val="B Compset"/>
      <charset val="178"/>
    </font>
    <font>
      <b/>
      <sz val="10"/>
      <name val="B Compset"/>
      <charset val="178"/>
    </font>
    <font>
      <b/>
      <i/>
      <sz val="14"/>
      <color rgb="FFFF0000"/>
      <name val="B Compset"/>
      <charset val="178"/>
    </font>
    <font>
      <b/>
      <u/>
      <sz val="11"/>
      <color rgb="FF00B0F0"/>
      <name val="B Compset"/>
      <charset val="178"/>
    </font>
    <font>
      <b/>
      <i/>
      <sz val="10"/>
      <name val="B Compset"/>
      <charset val="178"/>
    </font>
    <font>
      <b/>
      <i/>
      <sz val="14"/>
      <name val="B Compset"/>
      <charset val="178"/>
    </font>
    <font>
      <b/>
      <sz val="16"/>
      <name val="B Compset"/>
      <charset val="178"/>
    </font>
    <font>
      <b/>
      <i/>
      <sz val="16"/>
      <name val="B Compset"/>
      <charset val="178"/>
    </font>
    <font>
      <b/>
      <u val="double"/>
      <sz val="22"/>
      <color theme="3"/>
      <name val="B Compset"/>
      <charset val="178"/>
    </font>
    <font>
      <b/>
      <i/>
      <sz val="16"/>
      <color indexed="10"/>
      <name val="B Compset"/>
      <charset val="178"/>
    </font>
    <font>
      <b/>
      <sz val="18"/>
      <color theme="1"/>
      <name val="B Compset"/>
      <charset val="178"/>
    </font>
    <font>
      <b/>
      <i/>
      <sz val="12"/>
      <color rgb="FFFF0000"/>
      <name val="Arial"/>
      <family val="2"/>
      <charset val="178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charset val="178"/>
      <scheme val="minor"/>
    </font>
    <font>
      <b/>
      <sz val="12"/>
      <color theme="1"/>
      <name val="B Compset"/>
      <charset val="178"/>
    </font>
    <font>
      <sz val="12"/>
      <color theme="1"/>
      <name val="B Compset"/>
      <charset val="178"/>
    </font>
    <font>
      <b/>
      <sz val="11"/>
      <color theme="1"/>
      <name val="B Nazanin"/>
      <charset val="178"/>
    </font>
    <font>
      <b/>
      <sz val="18"/>
      <color theme="1"/>
      <name val="B Nazanin"/>
      <charset val="178"/>
    </font>
    <font>
      <b/>
      <i/>
      <sz val="12"/>
      <color rgb="FFFF0000"/>
      <name val="B Nazanin"/>
      <charset val="178"/>
    </font>
    <font>
      <b/>
      <sz val="12"/>
      <color theme="1"/>
      <name val="B Nazanin"/>
      <charset val="178"/>
    </font>
    <font>
      <b/>
      <i/>
      <sz val="11"/>
      <color theme="1"/>
      <name val="B Nazanin"/>
      <charset val="178"/>
    </font>
    <font>
      <sz val="16"/>
      <color theme="1"/>
      <name val="B Nazanin"/>
      <charset val="178"/>
    </font>
    <font>
      <b/>
      <sz val="16"/>
      <color theme="1"/>
      <name val="B Nazanin"/>
      <charset val="178"/>
    </font>
    <font>
      <sz val="16"/>
      <color rgb="FFC00000"/>
      <name val="B Nazanin"/>
      <charset val="178"/>
    </font>
    <font>
      <sz val="16"/>
      <color theme="3"/>
      <name val="B Nazanin"/>
      <charset val="178"/>
    </font>
    <font>
      <b/>
      <sz val="11"/>
      <color theme="0"/>
      <name val="Calibri"/>
      <family val="2"/>
      <charset val="178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CC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4"/>
        </stop>
      </gradient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/>
      <top style="thick">
        <color theme="0"/>
      </top>
      <bottom/>
      <diagonal/>
    </border>
    <border>
      <left style="thin">
        <color theme="0"/>
      </left>
      <right/>
      <top style="thick">
        <color theme="0"/>
      </top>
      <bottom/>
      <diagonal/>
    </border>
    <border>
      <left/>
      <right/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43" fontId="29" fillId="0" borderId="0" applyFont="0" applyFill="0" applyBorder="0" applyAlignment="0" applyProtection="0"/>
  </cellStyleXfs>
  <cellXfs count="125">
    <xf numFmtId="0" fontId="0" fillId="0" borderId="0" xfId="0"/>
    <xf numFmtId="0" fontId="0" fillId="0" borderId="0" xfId="0" applyAlignment="1">
      <alignment horizontal="center" vertical="center" wrapText="1"/>
    </xf>
    <xf numFmtId="3" fontId="0" fillId="0" borderId="0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14" fillId="0" borderId="0" xfId="0" applyFont="1"/>
    <xf numFmtId="0" fontId="16" fillId="0" borderId="0" xfId="0" applyFont="1" applyAlignment="1">
      <alignment horizontal="center" vertical="center" wrapText="1"/>
    </xf>
    <xf numFmtId="0" fontId="14" fillId="0" borderId="0" xfId="0" applyFont="1" applyFill="1"/>
    <xf numFmtId="0" fontId="0" fillId="0" borderId="0" xfId="0" applyFill="1" applyBorder="1" applyAlignment="1">
      <alignment horizontal="center" vertical="center" wrapText="1"/>
    </xf>
    <xf numFmtId="15" fontId="0" fillId="0" borderId="0" xfId="0" applyNumberFormat="1"/>
    <xf numFmtId="1" fontId="0" fillId="0" borderId="0" xfId="0" applyNumberFormat="1"/>
    <xf numFmtId="3" fontId="0" fillId="0" borderId="1" xfId="0" applyNumberFormat="1" applyBorder="1" applyAlignment="1">
      <alignment horizontal="center" vertical="center"/>
    </xf>
    <xf numFmtId="0" fontId="15" fillId="0" borderId="0" xfId="1" applyFont="1" applyAlignment="1" applyProtection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0" fillId="8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/>
    <xf numFmtId="0" fontId="4" fillId="8" borderId="4" xfId="0" applyFont="1" applyFill="1" applyBorder="1" applyAlignment="1">
      <alignment horizontal="center" vertical="center"/>
    </xf>
    <xf numFmtId="0" fontId="1" fillId="8" borderId="5" xfId="0" applyFont="1" applyFill="1" applyBorder="1" applyAlignment="1">
      <alignment horizontal="center" vertical="center"/>
    </xf>
    <xf numFmtId="0" fontId="0" fillId="8" borderId="12" xfId="0" applyFill="1" applyBorder="1"/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/>
    <xf numFmtId="0" fontId="0" fillId="0" borderId="7" xfId="0" applyBorder="1"/>
    <xf numFmtId="0" fontId="0" fillId="0" borderId="8" xfId="0" applyBorder="1"/>
    <xf numFmtId="0" fontId="36" fillId="0" borderId="9" xfId="0" applyFont="1" applyBorder="1" applyAlignment="1">
      <alignment horizontal="center" vertical="center" wrapText="1"/>
    </xf>
    <xf numFmtId="0" fontId="36" fillId="0" borderId="2" xfId="0" applyFont="1" applyBorder="1" applyAlignment="1">
      <alignment horizontal="center" vertical="center" wrapText="1"/>
    </xf>
    <xf numFmtId="0" fontId="37" fillId="0" borderId="3" xfId="0" applyFont="1" applyBorder="1"/>
    <xf numFmtId="0" fontId="38" fillId="0" borderId="4" xfId="0" applyFont="1" applyBorder="1" applyAlignment="1">
      <alignment horizontal="center" vertical="center"/>
    </xf>
    <xf numFmtId="0" fontId="39" fillId="0" borderId="4" xfId="0" applyFont="1" applyBorder="1" applyAlignment="1">
      <alignment horizontal="center" vertical="center"/>
    </xf>
    <xf numFmtId="3" fontId="37" fillId="0" borderId="4" xfId="0" applyNumberFormat="1" applyFont="1" applyBorder="1" applyAlignment="1">
      <alignment horizontal="center" vertical="center"/>
    </xf>
    <xf numFmtId="3" fontId="37" fillId="0" borderId="4" xfId="0" applyNumberFormat="1" applyFont="1" applyBorder="1" applyAlignment="1">
      <alignment horizontal="center" vertical="center"/>
    </xf>
    <xf numFmtId="0" fontId="37" fillId="0" borderId="11" xfId="0" applyFont="1" applyBorder="1"/>
    <xf numFmtId="0" fontId="40" fillId="0" borderId="1" xfId="0" applyFont="1" applyBorder="1" applyAlignment="1">
      <alignment horizontal="center" vertical="center"/>
    </xf>
    <xf numFmtId="3" fontId="37" fillId="0" borderId="1" xfId="0" applyNumberFormat="1" applyFont="1" applyBorder="1" applyAlignment="1">
      <alignment horizontal="center" vertical="center"/>
    </xf>
    <xf numFmtId="3" fontId="38" fillId="2" borderId="7" xfId="0" applyNumberFormat="1" applyFont="1" applyFill="1" applyBorder="1" applyAlignment="1">
      <alignment horizontal="center" vertical="center"/>
    </xf>
    <xf numFmtId="9" fontId="0" fillId="13" borderId="14" xfId="2" applyNumberFormat="1" applyFont="1" applyFill="1" applyBorder="1" applyAlignment="1">
      <alignment horizontal="right" vertical="center" readingOrder="2"/>
    </xf>
    <xf numFmtId="0" fontId="41" fillId="12" borderId="0" xfId="0" applyFont="1" applyFill="1" applyBorder="1"/>
    <xf numFmtId="164" fontId="41" fillId="12" borderId="15" xfId="2" applyNumberFormat="1" applyFont="1" applyFill="1" applyBorder="1" applyAlignment="1">
      <alignment horizontal="right" readingOrder="2"/>
    </xf>
    <xf numFmtId="0" fontId="0" fillId="13" borderId="16" xfId="0" applyFont="1" applyFill="1" applyBorder="1"/>
    <xf numFmtId="164" fontId="0" fillId="13" borderId="17" xfId="2" applyNumberFormat="1" applyFont="1" applyFill="1" applyBorder="1" applyAlignment="1">
      <alignment horizontal="right" vertical="center" readingOrder="2"/>
    </xf>
    <xf numFmtId="0" fontId="0" fillId="14" borderId="18" xfId="0" applyFont="1" applyFill="1" applyBorder="1"/>
    <xf numFmtId="164" fontId="0" fillId="14" borderId="14" xfId="2" applyNumberFormat="1" applyFont="1" applyFill="1" applyBorder="1" applyAlignment="1">
      <alignment horizontal="right" vertical="center" readingOrder="2"/>
    </xf>
    <xf numFmtId="0" fontId="0" fillId="13" borderId="18" xfId="0" applyFont="1" applyFill="1" applyBorder="1"/>
    <xf numFmtId="164" fontId="0" fillId="13" borderId="14" xfId="2" applyNumberFormat="1" applyFont="1" applyFill="1" applyBorder="1" applyAlignment="1">
      <alignment horizontal="right" vertical="center" readingOrder="2"/>
    </xf>
    <xf numFmtId="9" fontId="0" fillId="14" borderId="14" xfId="2" applyNumberFormat="1" applyFont="1" applyFill="1" applyBorder="1" applyAlignment="1">
      <alignment horizontal="right" vertical="center" readingOrder="2"/>
    </xf>
    <xf numFmtId="0" fontId="0" fillId="13" borderId="0" xfId="0" applyFont="1" applyFill="1" applyBorder="1"/>
    <xf numFmtId="164" fontId="0" fillId="13" borderId="15" xfId="2" applyNumberFormat="1" applyFont="1" applyFill="1" applyBorder="1" applyAlignment="1">
      <alignment horizontal="right" vertical="center" readingOrder="2"/>
    </xf>
    <xf numFmtId="3" fontId="37" fillId="0" borderId="4" xfId="0" applyNumberFormat="1" applyFont="1" applyBorder="1" applyAlignment="1">
      <alignment horizontal="center" vertical="center"/>
    </xf>
    <xf numFmtId="0" fontId="14" fillId="0" borderId="19" xfId="0" applyFont="1" applyBorder="1"/>
    <xf numFmtId="0" fontId="31" fillId="4" borderId="22" xfId="0" applyFont="1" applyFill="1" applyBorder="1" applyAlignment="1">
      <alignment horizontal="center" vertical="center"/>
    </xf>
    <xf numFmtId="0" fontId="31" fillId="4" borderId="2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0" fontId="11" fillId="0" borderId="11" xfId="1" applyFont="1" applyBorder="1" applyAlignment="1" applyProtection="1">
      <alignment horizontal="center" vertical="center"/>
    </xf>
    <xf numFmtId="0" fontId="11" fillId="0" borderId="1" xfId="1" applyFont="1" applyBorder="1" applyAlignment="1" applyProtection="1">
      <alignment horizontal="center" vertical="center"/>
    </xf>
    <xf numFmtId="0" fontId="11" fillId="0" borderId="6" xfId="1" applyFont="1" applyBorder="1" applyAlignment="1" applyProtection="1">
      <alignment horizontal="center" vertical="center"/>
    </xf>
    <xf numFmtId="0" fontId="11" fillId="0" borderId="7" xfId="1" applyFont="1" applyBorder="1" applyAlignment="1" applyProtection="1">
      <alignment horizontal="center" vertical="center"/>
    </xf>
    <xf numFmtId="0" fontId="12" fillId="0" borderId="1" xfId="1" applyFont="1" applyBorder="1" applyAlignment="1" applyProtection="1">
      <alignment horizontal="center" vertical="center"/>
    </xf>
    <xf numFmtId="0" fontId="12" fillId="0" borderId="7" xfId="1" applyFont="1" applyBorder="1" applyAlignment="1" applyProtection="1">
      <alignment horizontal="center" vertical="center"/>
    </xf>
    <xf numFmtId="0" fontId="0" fillId="8" borderId="1" xfId="0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vertical="center"/>
    </xf>
    <xf numFmtId="0" fontId="4" fillId="8" borderId="1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26" fillId="0" borderId="1" xfId="1" applyFont="1" applyBorder="1" applyAlignment="1" applyProtection="1">
      <alignment horizontal="center" vertical="center"/>
    </xf>
    <xf numFmtId="0" fontId="26" fillId="0" borderId="7" xfId="1" applyFont="1" applyBorder="1" applyAlignment="1" applyProtection="1">
      <alignment horizontal="center" vertical="center"/>
    </xf>
    <xf numFmtId="3" fontId="37" fillId="0" borderId="1" xfId="0" applyNumberFormat="1" applyFont="1" applyBorder="1" applyAlignment="1">
      <alignment horizontal="center" vertical="center"/>
    </xf>
    <xf numFmtId="3" fontId="37" fillId="0" borderId="12" xfId="0" applyNumberFormat="1" applyFont="1" applyBorder="1" applyAlignment="1">
      <alignment horizontal="center" vertical="center"/>
    </xf>
    <xf numFmtId="3" fontId="37" fillId="0" borderId="4" xfId="0" applyNumberFormat="1" applyFont="1" applyBorder="1" applyAlignment="1">
      <alignment horizontal="center" vertical="center"/>
    </xf>
    <xf numFmtId="3" fontId="37" fillId="0" borderId="5" xfId="0" applyNumberFormat="1" applyFont="1" applyBorder="1" applyAlignment="1">
      <alignment horizontal="center" vertical="center"/>
    </xf>
    <xf numFmtId="0" fontId="33" fillId="6" borderId="4" xfId="0" applyFont="1" applyFill="1" applyBorder="1" applyAlignment="1">
      <alignment horizontal="center" vertical="center" wrapText="1"/>
    </xf>
    <xf numFmtId="0" fontId="33" fillId="6" borderId="2" xfId="0" applyFont="1" applyFill="1" applyBorder="1" applyAlignment="1">
      <alignment horizontal="center" vertical="center" wrapText="1"/>
    </xf>
    <xf numFmtId="3" fontId="38" fillId="2" borderId="6" xfId="0" applyNumberFormat="1" applyFont="1" applyFill="1" applyBorder="1" applyAlignment="1">
      <alignment horizontal="center" vertical="center"/>
    </xf>
    <xf numFmtId="3" fontId="38" fillId="2" borderId="7" xfId="0" applyNumberFormat="1" applyFont="1" applyFill="1" applyBorder="1" applyAlignment="1">
      <alignment horizontal="center" vertical="center"/>
    </xf>
    <xf numFmtId="3" fontId="38" fillId="2" borderId="8" xfId="0" applyNumberFormat="1" applyFont="1" applyFill="1" applyBorder="1" applyAlignment="1">
      <alignment horizontal="center" vertical="center"/>
    </xf>
    <xf numFmtId="0" fontId="33" fillId="11" borderId="4" xfId="0" applyFont="1" applyFill="1" applyBorder="1" applyAlignment="1">
      <alignment horizontal="center" vertical="center"/>
    </xf>
    <xf numFmtId="0" fontId="33" fillId="6" borderId="4" xfId="0" applyFont="1" applyFill="1" applyBorder="1" applyAlignment="1">
      <alignment horizontal="center" vertical="center"/>
    </xf>
    <xf numFmtId="0" fontId="33" fillId="6" borderId="2" xfId="0" applyFont="1" applyFill="1" applyBorder="1" applyAlignment="1">
      <alignment horizontal="center" vertical="center"/>
    </xf>
    <xf numFmtId="0" fontId="34" fillId="8" borderId="4" xfId="0" applyFont="1" applyFill="1" applyBorder="1" applyAlignment="1">
      <alignment horizontal="center" vertical="center"/>
    </xf>
    <xf numFmtId="0" fontId="34" fillId="8" borderId="2" xfId="0" applyFont="1" applyFill="1" applyBorder="1" applyAlignment="1">
      <alignment horizontal="center" vertical="center"/>
    </xf>
    <xf numFmtId="0" fontId="35" fillId="10" borderId="4" xfId="0" applyFont="1" applyFill="1" applyBorder="1" applyAlignment="1">
      <alignment horizontal="center" vertical="center"/>
    </xf>
    <xf numFmtId="0" fontId="35" fillId="10" borderId="5" xfId="0" applyFont="1" applyFill="1" applyBorder="1" applyAlignment="1">
      <alignment horizontal="center" vertical="center"/>
    </xf>
    <xf numFmtId="0" fontId="35" fillId="10" borderId="2" xfId="0" applyFont="1" applyFill="1" applyBorder="1" applyAlignment="1">
      <alignment horizontal="center" vertical="center"/>
    </xf>
    <xf numFmtId="0" fontId="35" fillId="10" borderId="10" xfId="0" applyFont="1" applyFill="1" applyBorder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32" fillId="8" borderId="3" xfId="0" applyFont="1" applyFill="1" applyBorder="1" applyAlignment="1">
      <alignment horizontal="center" vertical="center"/>
    </xf>
    <xf numFmtId="0" fontId="32" fillId="8" borderId="4" xfId="0" applyFont="1" applyFill="1" applyBorder="1" applyAlignment="1">
      <alignment horizontal="center" vertical="center"/>
    </xf>
    <xf numFmtId="0" fontId="32" fillId="9" borderId="4" xfId="0" applyFont="1" applyFill="1" applyBorder="1" applyAlignment="1">
      <alignment horizontal="center" vertical="center"/>
    </xf>
    <xf numFmtId="0" fontId="33" fillId="7" borderId="4" xfId="0" applyFont="1" applyFill="1" applyBorder="1" applyAlignment="1">
      <alignment horizontal="center" vertical="center"/>
    </xf>
    <xf numFmtId="0" fontId="13" fillId="0" borderId="0" xfId="1" applyFont="1" applyAlignment="1" applyProtection="1">
      <alignment horizontal="center" vertical="center"/>
    </xf>
    <xf numFmtId="0" fontId="12" fillId="0" borderId="0" xfId="1" applyFont="1" applyAlignment="1" applyProtection="1">
      <alignment horizontal="center" vertical="center"/>
    </xf>
    <xf numFmtId="0" fontId="16" fillId="3" borderId="1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3" fontId="21" fillId="3" borderId="1" xfId="0" applyNumberFormat="1" applyFont="1" applyFill="1" applyBorder="1" applyAlignment="1">
      <alignment horizontal="center" vertical="center"/>
    </xf>
    <xf numFmtId="0" fontId="18" fillId="0" borderId="0" xfId="1" applyFont="1" applyAlignment="1" applyProtection="1">
      <alignment horizontal="center" vertical="center"/>
    </xf>
    <xf numFmtId="3" fontId="21" fillId="2" borderId="1" xfId="0" applyNumberFormat="1" applyFont="1" applyFill="1" applyBorder="1" applyAlignment="1">
      <alignment horizontal="center" vertical="center"/>
    </xf>
    <xf numFmtId="3" fontId="21" fillId="2" borderId="12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3" fontId="22" fillId="2" borderId="1" xfId="0" applyNumberFormat="1" applyFont="1" applyFill="1" applyBorder="1" applyAlignment="1">
      <alignment horizontal="center" vertical="center"/>
    </xf>
    <xf numFmtId="3" fontId="22" fillId="2" borderId="12" xfId="0" applyNumberFormat="1" applyFont="1" applyFill="1" applyBorder="1" applyAlignment="1">
      <alignment horizontal="center" vertical="center"/>
    </xf>
    <xf numFmtId="3" fontId="24" fillId="3" borderId="1" xfId="0" applyNumberFormat="1" applyFont="1" applyFill="1" applyBorder="1" applyAlignment="1">
      <alignment horizontal="center" vertical="center"/>
    </xf>
    <xf numFmtId="3" fontId="23" fillId="2" borderId="1" xfId="0" applyNumberFormat="1" applyFont="1" applyFill="1" applyBorder="1" applyAlignment="1">
      <alignment horizontal="center" vertical="center"/>
    </xf>
    <xf numFmtId="3" fontId="23" fillId="2" borderId="12" xfId="0" applyNumberFormat="1" applyFont="1" applyFill="1" applyBorder="1" applyAlignment="1">
      <alignment horizontal="center" vertical="center"/>
    </xf>
    <xf numFmtId="0" fontId="25" fillId="4" borderId="13" xfId="0" applyFont="1" applyFill="1" applyBorder="1" applyAlignment="1">
      <alignment horizontal="center" vertical="center"/>
    </xf>
    <xf numFmtId="0" fontId="25" fillId="4" borderId="4" xfId="0" applyFont="1" applyFill="1" applyBorder="1" applyAlignment="1">
      <alignment horizontal="center" vertical="center"/>
    </xf>
    <xf numFmtId="0" fontId="25" fillId="4" borderId="5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30" fillId="4" borderId="24" xfId="0" applyFont="1" applyFill="1" applyBorder="1" applyAlignment="1">
      <alignment horizontal="right" vertical="center" wrapText="1"/>
    </xf>
    <xf numFmtId="0" fontId="30" fillId="4" borderId="25" xfId="0" applyFont="1" applyFill="1" applyBorder="1" applyAlignment="1">
      <alignment horizontal="right" vertical="center" wrapText="1"/>
    </xf>
    <xf numFmtId="0" fontId="30" fillId="4" borderId="26" xfId="0" applyFont="1" applyFill="1" applyBorder="1" applyAlignment="1">
      <alignment horizontal="right" vertical="center" wrapText="1"/>
    </xf>
    <xf numFmtId="0" fontId="20" fillId="3" borderId="11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3" fontId="21" fillId="3" borderId="1" xfId="0" applyNumberFormat="1" applyFont="1" applyFill="1" applyBorder="1" applyAlignment="1">
      <alignment horizontal="right" vertical="center"/>
    </xf>
    <xf numFmtId="0" fontId="0" fillId="15" borderId="1" xfId="0" applyFill="1" applyBorder="1" applyAlignment="1">
      <alignment horizontal="center" vertical="center" wrapText="1"/>
    </xf>
    <xf numFmtId="3" fontId="0" fillId="15" borderId="1" xfId="0" applyNumberFormat="1" applyFill="1" applyBorder="1" applyAlignment="1">
      <alignment horizontal="center" vertical="center"/>
    </xf>
    <xf numFmtId="0" fontId="0" fillId="15" borderId="1" xfId="0" applyFill="1" applyBorder="1"/>
  </cellXfs>
  <cellStyles count="3">
    <cellStyle name="Comma" xfId="2" builtinId="3"/>
    <cellStyle name="Hyperlink" xfId="1" builtinId="8"/>
    <cellStyle name="Normal" xfId="0" builtinId="0"/>
  </cellStyles>
  <dxfs count="4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9" defaultPivotStyle="PivotStyleLight16"/>
  <colors>
    <mruColors>
      <color rgb="FFFFFF99"/>
      <color rgb="FFFFC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T34"/>
  <sheetViews>
    <sheetView rightToLeft="1" workbookViewId="0">
      <selection activeCell="S12" sqref="S12"/>
    </sheetView>
  </sheetViews>
  <sheetFormatPr defaultRowHeight="15" x14ac:dyDescent="0.25"/>
  <cols>
    <col min="1" max="1" width="8.85546875" customWidth="1"/>
    <col min="6" max="6" width="10.85546875" bestFit="1" customWidth="1"/>
    <col min="7" max="7" width="12.7109375" bestFit="1" customWidth="1"/>
    <col min="8" max="8" width="9.140625" bestFit="1" customWidth="1"/>
    <col min="9" max="9" width="7.42578125" bestFit="1" customWidth="1"/>
    <col min="10" max="10" width="11.140625" customWidth="1"/>
    <col min="11" max="11" width="9.140625" bestFit="1" customWidth="1"/>
    <col min="12" max="12" width="12.42578125" bestFit="1" customWidth="1"/>
    <col min="13" max="13" width="12.42578125" customWidth="1"/>
    <col min="14" max="14" width="7.140625" customWidth="1"/>
    <col min="15" max="15" width="8.85546875" bestFit="1" customWidth="1"/>
    <col min="16" max="16" width="7.42578125" bestFit="1" customWidth="1"/>
    <col min="18" max="19" width="10.28515625" bestFit="1" customWidth="1"/>
  </cols>
  <sheetData>
    <row r="1" spans="1:20" ht="15.75" x14ac:dyDescent="0.25">
      <c r="A1" s="63" t="s">
        <v>6</v>
      </c>
      <c r="B1" s="55"/>
      <c r="C1" s="55"/>
      <c r="D1" s="55" t="s">
        <v>53</v>
      </c>
      <c r="E1" s="55"/>
      <c r="F1" s="18"/>
      <c r="G1" s="55" t="s">
        <v>51</v>
      </c>
      <c r="H1" s="55"/>
      <c r="I1" s="55"/>
      <c r="J1" s="55"/>
      <c r="K1" s="55"/>
      <c r="L1" s="55"/>
      <c r="M1" s="55"/>
      <c r="N1" s="55"/>
      <c r="O1" s="55"/>
      <c r="P1" s="55"/>
      <c r="Q1" s="19" t="s">
        <v>42</v>
      </c>
    </row>
    <row r="2" spans="1:20" ht="15.75" x14ac:dyDescent="0.25">
      <c r="A2" s="64"/>
      <c r="B2" s="65"/>
      <c r="C2" s="65"/>
      <c r="D2" s="65"/>
      <c r="E2" s="65"/>
      <c r="F2" s="12"/>
      <c r="G2" s="13"/>
      <c r="H2" s="13"/>
      <c r="I2" s="13"/>
      <c r="J2" s="13"/>
      <c r="K2" s="13"/>
      <c r="L2" s="13"/>
      <c r="M2" s="62" t="s">
        <v>48</v>
      </c>
      <c r="N2" s="62"/>
      <c r="O2" s="13"/>
      <c r="P2" s="13"/>
      <c r="Q2" s="20"/>
    </row>
    <row r="3" spans="1:20" ht="60" x14ac:dyDescent="0.25">
      <c r="A3" s="21" t="s">
        <v>2</v>
      </c>
      <c r="B3" s="14" t="s">
        <v>0</v>
      </c>
      <c r="C3" s="14" t="s">
        <v>1</v>
      </c>
      <c r="D3" s="14" t="s">
        <v>55</v>
      </c>
      <c r="E3" s="14" t="s">
        <v>54</v>
      </c>
      <c r="F3" s="14" t="s">
        <v>89</v>
      </c>
      <c r="G3" s="122" t="s">
        <v>3</v>
      </c>
      <c r="H3" s="14" t="s">
        <v>4</v>
      </c>
      <c r="I3" s="14" t="s">
        <v>21</v>
      </c>
      <c r="J3" s="122" t="s">
        <v>22</v>
      </c>
      <c r="K3" s="14" t="s">
        <v>40</v>
      </c>
      <c r="L3" s="14" t="s">
        <v>30</v>
      </c>
      <c r="M3" s="14" t="s">
        <v>49</v>
      </c>
      <c r="N3" s="14" t="s">
        <v>50</v>
      </c>
      <c r="O3" s="122" t="s">
        <v>19</v>
      </c>
      <c r="P3" s="14" t="s">
        <v>10</v>
      </c>
      <c r="Q3" s="22" t="s">
        <v>52</v>
      </c>
      <c r="R3" s="7"/>
      <c r="S3" s="7"/>
      <c r="T3" s="7"/>
    </row>
    <row r="4" spans="1:20" x14ac:dyDescent="0.25">
      <c r="A4" s="23">
        <v>1</v>
      </c>
      <c r="B4" s="15" t="s">
        <v>64</v>
      </c>
      <c r="C4" s="15" t="s">
        <v>59</v>
      </c>
      <c r="D4" s="15">
        <v>31</v>
      </c>
      <c r="E4" s="15">
        <v>20</v>
      </c>
      <c r="F4" s="3">
        <v>611809</v>
      </c>
      <c r="G4" s="123">
        <f>F4*D4</f>
        <v>18966079</v>
      </c>
      <c r="H4" s="3">
        <f>'اقلام حقوق و دستمزد'!$B$4</f>
        <v>1000000</v>
      </c>
      <c r="I4" s="3">
        <v>1</v>
      </c>
      <c r="J4" s="123">
        <f>'اقلام حقوق و دستمزد'!$B$5*I4</f>
        <v>1835420</v>
      </c>
      <c r="K4" s="10">
        <f>'اقلام حقوق و دستمزد'!$B$7</f>
        <v>4000000</v>
      </c>
      <c r="L4" s="3">
        <v>500000</v>
      </c>
      <c r="M4" s="3"/>
      <c r="N4" s="3">
        <v>10</v>
      </c>
      <c r="O4" s="123">
        <f>N4*100000</f>
        <v>1000000</v>
      </c>
      <c r="P4" s="3"/>
      <c r="Q4" s="24"/>
      <c r="R4" s="8"/>
      <c r="S4" s="8"/>
      <c r="T4" s="9"/>
    </row>
    <row r="5" spans="1:20" x14ac:dyDescent="0.25">
      <c r="A5" s="23">
        <v>2</v>
      </c>
      <c r="B5" s="15" t="s">
        <v>60</v>
      </c>
      <c r="C5" s="15" t="s">
        <v>61</v>
      </c>
      <c r="D5" s="15">
        <v>31</v>
      </c>
      <c r="E5" s="15">
        <v>21</v>
      </c>
      <c r="F5" s="10">
        <v>500000</v>
      </c>
      <c r="G5" s="123">
        <f t="shared" ref="G5:G22" si="0">F5*D5</f>
        <v>15500000</v>
      </c>
      <c r="H5" s="10">
        <f>'اقلام حقوق و دستمزد'!$B$4</f>
        <v>1000000</v>
      </c>
      <c r="I5" s="3">
        <v>2</v>
      </c>
      <c r="J5" s="123">
        <f>'اقلام حقوق و دستمزد'!$B$5*I5</f>
        <v>3670840</v>
      </c>
      <c r="K5" s="10">
        <f>'اقلام حقوق و دستمزد'!$B$7</f>
        <v>4000000</v>
      </c>
      <c r="L5" s="3">
        <v>550000</v>
      </c>
      <c r="M5" s="3"/>
      <c r="N5" s="3">
        <v>5</v>
      </c>
      <c r="O5" s="123">
        <f t="shared" ref="O5:O22" si="1">N5*100000</f>
        <v>500000</v>
      </c>
      <c r="P5" s="3"/>
      <c r="Q5" s="24"/>
      <c r="R5" s="8"/>
      <c r="S5" s="8"/>
    </row>
    <row r="6" spans="1:20" x14ac:dyDescent="0.25">
      <c r="A6" s="23">
        <v>3</v>
      </c>
      <c r="B6" s="16" t="s">
        <v>16</v>
      </c>
      <c r="C6" s="16" t="s">
        <v>67</v>
      </c>
      <c r="D6" s="15">
        <v>31</v>
      </c>
      <c r="E6" s="15">
        <v>6</v>
      </c>
      <c r="F6" s="10">
        <v>611809</v>
      </c>
      <c r="G6" s="123">
        <f t="shared" si="0"/>
        <v>18966079</v>
      </c>
      <c r="H6" s="10">
        <f>'اقلام حقوق و دستمزد'!$B$4</f>
        <v>1000000</v>
      </c>
      <c r="I6" s="3">
        <v>0</v>
      </c>
      <c r="J6" s="123">
        <f>'اقلام حقوق و دستمزد'!$B$5*I6</f>
        <v>0</v>
      </c>
      <c r="K6" s="10">
        <f>'اقلام حقوق و دستمزد'!$B$7</f>
        <v>4000000</v>
      </c>
      <c r="L6" s="3">
        <v>0</v>
      </c>
      <c r="M6" s="3"/>
      <c r="N6" s="3">
        <v>0</v>
      </c>
      <c r="O6" s="123">
        <f t="shared" si="1"/>
        <v>0</v>
      </c>
      <c r="P6" s="3"/>
      <c r="Q6" s="24"/>
      <c r="R6" s="8"/>
      <c r="S6" s="8"/>
    </row>
    <row r="7" spans="1:20" x14ac:dyDescent="0.25">
      <c r="A7" s="23">
        <v>4</v>
      </c>
      <c r="B7" s="16" t="s">
        <v>68</v>
      </c>
      <c r="C7" s="16" t="s">
        <v>69</v>
      </c>
      <c r="D7" s="15">
        <v>31</v>
      </c>
      <c r="E7" s="15">
        <v>8</v>
      </c>
      <c r="F7" s="10">
        <v>611809</v>
      </c>
      <c r="G7" s="123">
        <f t="shared" si="0"/>
        <v>18966079</v>
      </c>
      <c r="H7" s="10">
        <f>'اقلام حقوق و دستمزد'!$B$4</f>
        <v>1000000</v>
      </c>
      <c r="I7" s="3">
        <v>3</v>
      </c>
      <c r="J7" s="123">
        <f>'اقلام حقوق و دستمزد'!$B$5*I7</f>
        <v>5506260</v>
      </c>
      <c r="K7" s="10">
        <f>'اقلام حقوق و دستمزد'!$B$7</f>
        <v>4000000</v>
      </c>
      <c r="L7" s="3">
        <v>0</v>
      </c>
      <c r="M7" s="3"/>
      <c r="N7" s="3">
        <v>0</v>
      </c>
      <c r="O7" s="123">
        <f t="shared" si="1"/>
        <v>0</v>
      </c>
      <c r="P7" s="3"/>
      <c r="Q7" s="24"/>
      <c r="R7" s="8"/>
      <c r="S7" s="8"/>
    </row>
    <row r="8" spans="1:20" x14ac:dyDescent="0.25">
      <c r="A8" s="23">
        <v>5</v>
      </c>
      <c r="B8" s="16" t="s">
        <v>70</v>
      </c>
      <c r="C8" s="16" t="s">
        <v>71</v>
      </c>
      <c r="D8" s="15">
        <v>31</v>
      </c>
      <c r="E8" s="15">
        <v>14</v>
      </c>
      <c r="F8" s="10">
        <v>611809</v>
      </c>
      <c r="G8" s="123">
        <f t="shared" si="0"/>
        <v>18966079</v>
      </c>
      <c r="H8" s="10">
        <f>'اقلام حقوق و دستمزد'!$B$4</f>
        <v>1000000</v>
      </c>
      <c r="I8" s="3">
        <v>2</v>
      </c>
      <c r="J8" s="123">
        <f>'اقلام حقوق و دستمزد'!$B$5*I8</f>
        <v>3670840</v>
      </c>
      <c r="K8" s="10">
        <f>'اقلام حقوق و دستمزد'!$B$7</f>
        <v>4000000</v>
      </c>
      <c r="L8" s="3">
        <v>0</v>
      </c>
      <c r="M8" s="3"/>
      <c r="N8" s="3">
        <v>0</v>
      </c>
      <c r="O8" s="123">
        <f t="shared" si="1"/>
        <v>0</v>
      </c>
      <c r="P8" s="3"/>
      <c r="Q8" s="24"/>
      <c r="R8" s="8"/>
      <c r="S8" s="8"/>
    </row>
    <row r="9" spans="1:20" x14ac:dyDescent="0.25">
      <c r="A9" s="23">
        <v>6</v>
      </c>
      <c r="B9" s="16" t="s">
        <v>56</v>
      </c>
      <c r="C9" s="16" t="s">
        <v>72</v>
      </c>
      <c r="D9" s="15">
        <v>31</v>
      </c>
      <c r="E9" s="15">
        <v>18</v>
      </c>
      <c r="F9" s="10">
        <v>611809</v>
      </c>
      <c r="G9" s="123">
        <f t="shared" si="0"/>
        <v>18966079</v>
      </c>
      <c r="H9" s="10">
        <f>'اقلام حقوق و دستمزد'!$B$4</f>
        <v>1000000</v>
      </c>
      <c r="I9" s="3">
        <v>0</v>
      </c>
      <c r="J9" s="123">
        <f>'اقلام حقوق و دستمزد'!$B$5*I9</f>
        <v>0</v>
      </c>
      <c r="K9" s="10">
        <f>'اقلام حقوق و دستمزد'!$B$7</f>
        <v>4000000</v>
      </c>
      <c r="L9" s="3">
        <v>0</v>
      </c>
      <c r="M9" s="3"/>
      <c r="N9" s="3">
        <v>0</v>
      </c>
      <c r="O9" s="123">
        <f t="shared" si="1"/>
        <v>0</v>
      </c>
      <c r="P9" s="3"/>
      <c r="Q9" s="24"/>
      <c r="R9" s="8"/>
      <c r="S9" s="8"/>
    </row>
    <row r="10" spans="1:20" x14ac:dyDescent="0.25">
      <c r="A10" s="23">
        <v>7</v>
      </c>
      <c r="B10" s="16" t="s">
        <v>73</v>
      </c>
      <c r="C10" s="16" t="s">
        <v>74</v>
      </c>
      <c r="D10" s="15">
        <v>31</v>
      </c>
      <c r="E10" s="15">
        <v>10</v>
      </c>
      <c r="F10" s="10">
        <v>611809</v>
      </c>
      <c r="G10" s="123">
        <f t="shared" si="0"/>
        <v>18966079</v>
      </c>
      <c r="H10" s="10">
        <f>'اقلام حقوق و دستمزد'!$B$4</f>
        <v>1000000</v>
      </c>
      <c r="I10" s="3">
        <v>0</v>
      </c>
      <c r="J10" s="123">
        <f>'اقلام حقوق و دستمزد'!$B$5*I10</f>
        <v>0</v>
      </c>
      <c r="K10" s="10">
        <f>'اقلام حقوق و دستمزد'!$B$7</f>
        <v>4000000</v>
      </c>
      <c r="L10" s="3">
        <v>300000</v>
      </c>
      <c r="M10" s="3"/>
      <c r="N10" s="3">
        <v>0</v>
      </c>
      <c r="O10" s="123">
        <f t="shared" si="1"/>
        <v>0</v>
      </c>
      <c r="P10" s="3"/>
      <c r="Q10" s="24"/>
      <c r="R10" s="8"/>
      <c r="S10" s="8"/>
    </row>
    <row r="11" spans="1:20" x14ac:dyDescent="0.25">
      <c r="A11" s="23">
        <v>8</v>
      </c>
      <c r="B11" s="16" t="s">
        <v>75</v>
      </c>
      <c r="C11" s="16" t="s">
        <v>76</v>
      </c>
      <c r="D11" s="15">
        <v>31</v>
      </c>
      <c r="E11" s="15">
        <v>12</v>
      </c>
      <c r="F11" s="10">
        <v>611809</v>
      </c>
      <c r="G11" s="123">
        <f t="shared" si="0"/>
        <v>18966079</v>
      </c>
      <c r="H11" s="10">
        <f>'اقلام حقوق و دستمزد'!$B$4</f>
        <v>1000000</v>
      </c>
      <c r="I11" s="3">
        <v>0</v>
      </c>
      <c r="J11" s="123">
        <f>'اقلام حقوق و دستمزد'!$B$5*I11</f>
        <v>0</v>
      </c>
      <c r="K11" s="10">
        <f>'اقلام حقوق و دستمزد'!$B$7</f>
        <v>4000000</v>
      </c>
      <c r="L11" s="3">
        <v>350000</v>
      </c>
      <c r="M11" s="3"/>
      <c r="N11" s="3">
        <v>0</v>
      </c>
      <c r="O11" s="123">
        <f t="shared" si="1"/>
        <v>0</v>
      </c>
      <c r="P11" s="3"/>
      <c r="Q11" s="24"/>
      <c r="R11" s="8"/>
      <c r="S11" s="8"/>
    </row>
    <row r="12" spans="1:20" x14ac:dyDescent="0.25">
      <c r="A12" s="23">
        <v>9</v>
      </c>
      <c r="B12" s="16" t="s">
        <v>17</v>
      </c>
      <c r="C12" s="16" t="s">
        <v>62</v>
      </c>
      <c r="D12" s="15">
        <v>31</v>
      </c>
      <c r="E12" s="15">
        <v>11</v>
      </c>
      <c r="F12" s="10">
        <v>611809</v>
      </c>
      <c r="G12" s="123">
        <f t="shared" si="0"/>
        <v>18966079</v>
      </c>
      <c r="H12" s="10">
        <f>'اقلام حقوق و دستمزد'!$B$4</f>
        <v>1000000</v>
      </c>
      <c r="I12" s="3">
        <v>0</v>
      </c>
      <c r="J12" s="123">
        <f>'اقلام حقوق و دستمزد'!$B$5*I12</f>
        <v>0</v>
      </c>
      <c r="K12" s="10">
        <f>'اقلام حقوق و دستمزد'!$B$7</f>
        <v>4000000</v>
      </c>
      <c r="L12" s="3">
        <v>450000</v>
      </c>
      <c r="M12" s="3"/>
      <c r="N12" s="3">
        <v>0</v>
      </c>
      <c r="O12" s="123">
        <f t="shared" si="1"/>
        <v>0</v>
      </c>
      <c r="P12" s="3"/>
      <c r="Q12" s="24"/>
      <c r="R12" s="8"/>
      <c r="S12" s="8"/>
    </row>
    <row r="13" spans="1:20" x14ac:dyDescent="0.25">
      <c r="A13" s="23">
        <v>10</v>
      </c>
      <c r="B13" s="16" t="s">
        <v>77</v>
      </c>
      <c r="C13" s="16" t="s">
        <v>78</v>
      </c>
      <c r="D13" s="15">
        <v>31</v>
      </c>
      <c r="E13" s="15">
        <v>3</v>
      </c>
      <c r="F13" s="10">
        <v>611809</v>
      </c>
      <c r="G13" s="123">
        <f t="shared" si="0"/>
        <v>18966079</v>
      </c>
      <c r="H13" s="10">
        <f>'اقلام حقوق و دستمزد'!$B$4</f>
        <v>1000000</v>
      </c>
      <c r="I13" s="3">
        <v>1</v>
      </c>
      <c r="J13" s="123">
        <f>'اقلام حقوق و دستمزد'!$B$5*I13</f>
        <v>1835420</v>
      </c>
      <c r="K13" s="10">
        <f>'اقلام حقوق و دستمزد'!$B$7</f>
        <v>4000000</v>
      </c>
      <c r="L13" s="3">
        <v>0</v>
      </c>
      <c r="M13" s="3"/>
      <c r="N13" s="3">
        <v>0</v>
      </c>
      <c r="O13" s="123">
        <f t="shared" si="1"/>
        <v>0</v>
      </c>
      <c r="P13" s="3"/>
      <c r="Q13" s="24"/>
      <c r="R13" s="8"/>
      <c r="S13" s="8"/>
    </row>
    <row r="14" spans="1:20" x14ac:dyDescent="0.25">
      <c r="A14" s="23">
        <v>11</v>
      </c>
      <c r="B14" s="16" t="s">
        <v>16</v>
      </c>
      <c r="C14" s="16" t="s">
        <v>65</v>
      </c>
      <c r="D14" s="15">
        <v>31</v>
      </c>
      <c r="E14" s="15">
        <v>22</v>
      </c>
      <c r="F14" s="10">
        <v>611809</v>
      </c>
      <c r="G14" s="123">
        <f t="shared" si="0"/>
        <v>18966079</v>
      </c>
      <c r="H14" s="10">
        <f>'اقلام حقوق و دستمزد'!$B$4</f>
        <v>1000000</v>
      </c>
      <c r="I14" s="3">
        <v>2</v>
      </c>
      <c r="J14" s="123">
        <f>'اقلام حقوق و دستمزد'!$B$5*I14</f>
        <v>3670840</v>
      </c>
      <c r="K14" s="10">
        <f>'اقلام حقوق و دستمزد'!$B$7</f>
        <v>4000000</v>
      </c>
      <c r="L14" s="3">
        <v>0</v>
      </c>
      <c r="M14" s="3"/>
      <c r="N14" s="3">
        <v>0</v>
      </c>
      <c r="O14" s="123">
        <f t="shared" si="1"/>
        <v>0</v>
      </c>
      <c r="P14" s="3"/>
      <c r="Q14" s="24"/>
      <c r="R14" s="8"/>
      <c r="S14" s="8"/>
    </row>
    <row r="15" spans="1:20" x14ac:dyDescent="0.25">
      <c r="A15" s="23">
        <v>12</v>
      </c>
      <c r="B15" s="16" t="s">
        <v>57</v>
      </c>
      <c r="C15" s="16" t="s">
        <v>63</v>
      </c>
      <c r="D15" s="15">
        <v>31</v>
      </c>
      <c r="E15" s="15">
        <v>21</v>
      </c>
      <c r="F15" s="10">
        <v>611809</v>
      </c>
      <c r="G15" s="123">
        <f t="shared" si="0"/>
        <v>18966079</v>
      </c>
      <c r="H15" s="10">
        <f>'اقلام حقوق و دستمزد'!$B$4</f>
        <v>1000000</v>
      </c>
      <c r="I15" s="3">
        <v>0</v>
      </c>
      <c r="J15" s="123">
        <f>'اقلام حقوق و دستمزد'!$B$5*I15</f>
        <v>0</v>
      </c>
      <c r="K15" s="10">
        <f>'اقلام حقوق و دستمزد'!$B$7</f>
        <v>4000000</v>
      </c>
      <c r="L15" s="3">
        <v>0</v>
      </c>
      <c r="M15" s="3"/>
      <c r="N15" s="3">
        <v>0</v>
      </c>
      <c r="O15" s="123">
        <f t="shared" si="1"/>
        <v>0</v>
      </c>
      <c r="P15" s="3"/>
      <c r="Q15" s="24"/>
      <c r="R15" s="8"/>
      <c r="S15" s="8"/>
    </row>
    <row r="16" spans="1:20" x14ac:dyDescent="0.25">
      <c r="A16" s="23">
        <v>13</v>
      </c>
      <c r="B16" s="16" t="s">
        <v>18</v>
      </c>
      <c r="C16" s="16" t="s">
        <v>66</v>
      </c>
      <c r="D16" s="15">
        <v>31</v>
      </c>
      <c r="E16" s="15">
        <v>10</v>
      </c>
      <c r="F16" s="10">
        <v>611809</v>
      </c>
      <c r="G16" s="123">
        <f t="shared" si="0"/>
        <v>18966079</v>
      </c>
      <c r="H16" s="10">
        <f>'اقلام حقوق و دستمزد'!$B$4</f>
        <v>1000000</v>
      </c>
      <c r="I16" s="3">
        <v>2</v>
      </c>
      <c r="J16" s="123">
        <f>'اقلام حقوق و دستمزد'!$B$5*I16</f>
        <v>3670840</v>
      </c>
      <c r="K16" s="10">
        <f>'اقلام حقوق و دستمزد'!$B$7</f>
        <v>4000000</v>
      </c>
      <c r="L16" s="3">
        <v>0</v>
      </c>
      <c r="M16" s="3"/>
      <c r="N16" s="3">
        <v>0</v>
      </c>
      <c r="O16" s="123">
        <f t="shared" si="1"/>
        <v>0</v>
      </c>
      <c r="P16" s="3"/>
      <c r="Q16" s="24"/>
      <c r="R16" s="8"/>
      <c r="S16" s="8"/>
    </row>
    <row r="17" spans="1:19" x14ac:dyDescent="0.25">
      <c r="A17" s="23">
        <v>14</v>
      </c>
      <c r="B17" s="16" t="s">
        <v>79</v>
      </c>
      <c r="C17" s="16" t="s">
        <v>80</v>
      </c>
      <c r="D17" s="15">
        <v>31</v>
      </c>
      <c r="E17" s="15">
        <v>15</v>
      </c>
      <c r="F17" s="10">
        <v>611809</v>
      </c>
      <c r="G17" s="123">
        <f t="shared" si="0"/>
        <v>18966079</v>
      </c>
      <c r="H17" s="10">
        <f>'اقلام حقوق و دستمزد'!$B$4</f>
        <v>1000000</v>
      </c>
      <c r="I17" s="3">
        <v>1</v>
      </c>
      <c r="J17" s="123">
        <f>'اقلام حقوق و دستمزد'!$B$5*I17</f>
        <v>1835420</v>
      </c>
      <c r="K17" s="10">
        <f>'اقلام حقوق و دستمزد'!$B$7</f>
        <v>4000000</v>
      </c>
      <c r="L17" s="3">
        <v>100000</v>
      </c>
      <c r="M17" s="3"/>
      <c r="N17" s="3">
        <v>0</v>
      </c>
      <c r="O17" s="123">
        <f t="shared" si="1"/>
        <v>0</v>
      </c>
      <c r="P17" s="3"/>
      <c r="Q17" s="24"/>
      <c r="R17" s="8"/>
      <c r="S17" s="8"/>
    </row>
    <row r="18" spans="1:19" x14ac:dyDescent="0.25">
      <c r="A18" s="23">
        <v>15</v>
      </c>
      <c r="B18" s="16" t="s">
        <v>58</v>
      </c>
      <c r="C18" s="16" t="s">
        <v>81</v>
      </c>
      <c r="D18" s="15">
        <v>31</v>
      </c>
      <c r="E18" s="15">
        <v>16</v>
      </c>
      <c r="F18" s="10">
        <v>611809</v>
      </c>
      <c r="G18" s="123">
        <f t="shared" si="0"/>
        <v>18966079</v>
      </c>
      <c r="H18" s="10">
        <f>'اقلام حقوق و دستمزد'!$B$4</f>
        <v>1000000</v>
      </c>
      <c r="I18" s="3">
        <v>3</v>
      </c>
      <c r="J18" s="123">
        <f>'اقلام حقوق و دستمزد'!$B$5*I18</f>
        <v>5506260</v>
      </c>
      <c r="K18" s="10">
        <f>'اقلام حقوق و دستمزد'!$B$7</f>
        <v>4000000</v>
      </c>
      <c r="L18" s="3">
        <v>200000</v>
      </c>
      <c r="M18" s="3"/>
      <c r="N18" s="3">
        <v>21</v>
      </c>
      <c r="O18" s="123">
        <f t="shared" si="1"/>
        <v>2100000</v>
      </c>
      <c r="P18" s="3"/>
      <c r="Q18" s="24"/>
      <c r="R18" s="8"/>
      <c r="S18" s="8"/>
    </row>
    <row r="19" spans="1:19" x14ac:dyDescent="0.25">
      <c r="A19" s="23">
        <v>16</v>
      </c>
      <c r="B19" s="16" t="s">
        <v>41</v>
      </c>
      <c r="C19" s="16" t="s">
        <v>82</v>
      </c>
      <c r="D19" s="15">
        <v>31</v>
      </c>
      <c r="E19" s="15">
        <v>20</v>
      </c>
      <c r="F19" s="10">
        <v>611809</v>
      </c>
      <c r="G19" s="123">
        <f t="shared" si="0"/>
        <v>18966079</v>
      </c>
      <c r="H19" s="10">
        <f>'اقلام حقوق و دستمزد'!$B$4</f>
        <v>1000000</v>
      </c>
      <c r="I19" s="3">
        <v>2</v>
      </c>
      <c r="J19" s="123">
        <f>'اقلام حقوق و دستمزد'!$B$5*I19</f>
        <v>3670840</v>
      </c>
      <c r="K19" s="10">
        <f>'اقلام حقوق و دستمزد'!$B$7</f>
        <v>4000000</v>
      </c>
      <c r="L19" s="3">
        <v>150000</v>
      </c>
      <c r="M19" s="3"/>
      <c r="N19" s="3">
        <v>10</v>
      </c>
      <c r="O19" s="123">
        <f t="shared" si="1"/>
        <v>1000000</v>
      </c>
      <c r="P19" s="3"/>
      <c r="Q19" s="24"/>
      <c r="R19" s="8"/>
      <c r="S19" s="8"/>
    </row>
    <row r="20" spans="1:19" x14ac:dyDescent="0.25">
      <c r="A20" s="23">
        <v>17</v>
      </c>
      <c r="B20" s="16" t="s">
        <v>83</v>
      </c>
      <c r="C20" s="16" t="s">
        <v>84</v>
      </c>
      <c r="D20" s="15">
        <v>31</v>
      </c>
      <c r="E20" s="15">
        <v>20</v>
      </c>
      <c r="F20" s="10">
        <v>611809</v>
      </c>
      <c r="G20" s="123">
        <f t="shared" si="0"/>
        <v>18966079</v>
      </c>
      <c r="H20" s="10">
        <f>'اقلام حقوق و دستمزد'!$B$4</f>
        <v>1000000</v>
      </c>
      <c r="I20" s="3">
        <v>2</v>
      </c>
      <c r="J20" s="123">
        <f>'اقلام حقوق و دستمزد'!$B$5*I20</f>
        <v>3670840</v>
      </c>
      <c r="K20" s="10">
        <f>'اقلام حقوق و دستمزد'!$B$7</f>
        <v>4000000</v>
      </c>
      <c r="L20" s="3">
        <v>0</v>
      </c>
      <c r="M20" s="3"/>
      <c r="N20" s="3">
        <v>12</v>
      </c>
      <c r="O20" s="123">
        <f t="shared" si="1"/>
        <v>1200000</v>
      </c>
      <c r="P20" s="3"/>
      <c r="Q20" s="24"/>
      <c r="R20" s="8"/>
      <c r="S20" s="8"/>
    </row>
    <row r="21" spans="1:19" x14ac:dyDescent="0.25">
      <c r="A21" s="23">
        <v>18</v>
      </c>
      <c r="B21" s="16" t="s">
        <v>85</v>
      </c>
      <c r="C21" s="16" t="s">
        <v>86</v>
      </c>
      <c r="D21" s="15">
        <v>31</v>
      </c>
      <c r="E21" s="15">
        <v>21</v>
      </c>
      <c r="F21" s="10">
        <v>611809</v>
      </c>
      <c r="G21" s="123">
        <f t="shared" si="0"/>
        <v>18966079</v>
      </c>
      <c r="H21" s="10">
        <f>'اقلام حقوق و دستمزد'!$B$4</f>
        <v>1000000</v>
      </c>
      <c r="I21" s="3">
        <v>1</v>
      </c>
      <c r="J21" s="123">
        <f>'اقلام حقوق و دستمزد'!$B$5*I21</f>
        <v>1835420</v>
      </c>
      <c r="K21" s="10">
        <f>'اقلام حقوق و دستمزد'!$B$7</f>
        <v>4000000</v>
      </c>
      <c r="L21" s="3">
        <v>0</v>
      </c>
      <c r="M21" s="3"/>
      <c r="N21" s="3">
        <v>0</v>
      </c>
      <c r="O21" s="123">
        <f t="shared" si="1"/>
        <v>0</v>
      </c>
      <c r="P21" s="3"/>
      <c r="Q21" s="24"/>
      <c r="R21" s="8"/>
      <c r="S21" s="8"/>
    </row>
    <row r="22" spans="1:19" x14ac:dyDescent="0.25">
      <c r="A22" s="23">
        <v>19</v>
      </c>
      <c r="B22" s="16" t="s">
        <v>87</v>
      </c>
      <c r="C22" s="16" t="s">
        <v>88</v>
      </c>
      <c r="D22" s="15">
        <v>31</v>
      </c>
      <c r="E22" s="15">
        <v>22</v>
      </c>
      <c r="F22" s="10">
        <v>611809</v>
      </c>
      <c r="G22" s="123">
        <f t="shared" si="0"/>
        <v>18966079</v>
      </c>
      <c r="H22" s="10">
        <f>'اقلام حقوق و دستمزد'!$B$4</f>
        <v>1000000</v>
      </c>
      <c r="I22" s="3">
        <v>0</v>
      </c>
      <c r="J22" s="123">
        <f>'اقلام حقوق و دستمزد'!$B$5*I22</f>
        <v>0</v>
      </c>
      <c r="K22" s="10">
        <f>'اقلام حقوق و دستمزد'!$B$7</f>
        <v>4000000</v>
      </c>
      <c r="L22" s="3">
        <v>0</v>
      </c>
      <c r="M22" s="3"/>
      <c r="N22" s="3">
        <v>0</v>
      </c>
      <c r="O22" s="123">
        <f t="shared" si="1"/>
        <v>0</v>
      </c>
      <c r="P22" s="3"/>
      <c r="Q22" s="24"/>
      <c r="R22" s="8"/>
      <c r="S22" s="8"/>
    </row>
    <row r="23" spans="1:19" x14ac:dyDescent="0.25">
      <c r="A23" s="23">
        <v>20</v>
      </c>
      <c r="B23" s="16"/>
      <c r="C23" s="16"/>
      <c r="D23" s="15"/>
      <c r="E23" s="15"/>
      <c r="F23" s="10"/>
      <c r="G23" s="123"/>
      <c r="H23" s="10"/>
      <c r="I23" s="10"/>
      <c r="J23" s="123"/>
      <c r="K23" s="10"/>
      <c r="L23" s="10"/>
      <c r="M23" s="10"/>
      <c r="N23" s="10"/>
      <c r="O23" s="123"/>
      <c r="P23" s="10"/>
      <c r="Q23" s="24"/>
      <c r="R23" s="8"/>
      <c r="S23" s="8"/>
    </row>
    <row r="24" spans="1:19" x14ac:dyDescent="0.25">
      <c r="A24" s="23">
        <v>21</v>
      </c>
      <c r="B24" s="16"/>
      <c r="C24" s="16"/>
      <c r="D24" s="15"/>
      <c r="E24" s="15"/>
      <c r="F24" s="10"/>
      <c r="G24" s="123"/>
      <c r="H24" s="10"/>
      <c r="I24" s="10"/>
      <c r="J24" s="123"/>
      <c r="K24" s="10"/>
      <c r="L24" s="10"/>
      <c r="M24" s="10"/>
      <c r="N24" s="10"/>
      <c r="O24" s="123"/>
      <c r="P24" s="10"/>
      <c r="Q24" s="24"/>
      <c r="R24" s="8"/>
      <c r="S24" s="8"/>
    </row>
    <row r="25" spans="1:19" x14ac:dyDescent="0.25">
      <c r="A25" s="23">
        <v>22</v>
      </c>
      <c r="B25" s="16"/>
      <c r="C25" s="16"/>
      <c r="D25" s="15"/>
      <c r="E25" s="15"/>
      <c r="F25" s="10"/>
      <c r="G25" s="123"/>
      <c r="H25" s="10"/>
      <c r="I25" s="10"/>
      <c r="J25" s="123"/>
      <c r="K25" s="10"/>
      <c r="L25" s="10"/>
      <c r="M25" s="10"/>
      <c r="N25" s="10"/>
      <c r="O25" s="123"/>
      <c r="P25" s="10"/>
      <c r="Q25" s="24"/>
      <c r="R25" s="8"/>
      <c r="S25" s="8"/>
    </row>
    <row r="26" spans="1:19" x14ac:dyDescent="0.25">
      <c r="A26" s="23">
        <v>23</v>
      </c>
      <c r="B26" s="16"/>
      <c r="C26" s="16"/>
      <c r="D26" s="15"/>
      <c r="E26" s="15"/>
      <c r="F26" s="10"/>
      <c r="G26" s="123"/>
      <c r="H26" s="10"/>
      <c r="I26" s="10"/>
      <c r="J26" s="123"/>
      <c r="K26" s="10"/>
      <c r="L26" s="10"/>
      <c r="M26" s="10"/>
      <c r="N26" s="10"/>
      <c r="O26" s="123"/>
      <c r="P26" s="10"/>
      <c r="Q26" s="24"/>
      <c r="R26" s="8"/>
      <c r="S26" s="8"/>
    </row>
    <row r="27" spans="1:19" x14ac:dyDescent="0.25">
      <c r="A27" s="23">
        <v>24</v>
      </c>
      <c r="B27" s="16"/>
      <c r="C27" s="16"/>
      <c r="D27" s="15"/>
      <c r="E27" s="15"/>
      <c r="F27" s="10"/>
      <c r="G27" s="123"/>
      <c r="H27" s="10"/>
      <c r="I27" s="10"/>
      <c r="J27" s="123"/>
      <c r="K27" s="10"/>
      <c r="L27" s="10"/>
      <c r="M27" s="10"/>
      <c r="N27" s="10"/>
      <c r="O27" s="123"/>
      <c r="P27" s="10"/>
      <c r="Q27" s="24"/>
      <c r="R27" s="8"/>
      <c r="S27" s="8"/>
    </row>
    <row r="28" spans="1:19" x14ac:dyDescent="0.25">
      <c r="A28" s="23">
        <v>25</v>
      </c>
      <c r="B28" s="16"/>
      <c r="C28" s="16"/>
      <c r="D28" s="15"/>
      <c r="E28" s="15"/>
      <c r="F28" s="10"/>
      <c r="G28" s="123"/>
      <c r="H28" s="10"/>
      <c r="I28" s="10"/>
      <c r="J28" s="123"/>
      <c r="K28" s="10"/>
      <c r="L28" s="10"/>
      <c r="M28" s="10"/>
      <c r="N28" s="10"/>
      <c r="O28" s="123"/>
      <c r="P28" s="10"/>
      <c r="Q28" s="24"/>
      <c r="R28" s="8"/>
      <c r="S28" s="8"/>
    </row>
    <row r="29" spans="1:19" x14ac:dyDescent="0.25">
      <c r="A29" s="23">
        <v>26</v>
      </c>
      <c r="B29" s="16"/>
      <c r="C29" s="16"/>
      <c r="D29" s="15"/>
      <c r="E29" s="15"/>
      <c r="F29" s="10"/>
      <c r="G29" s="123"/>
      <c r="H29" s="10"/>
      <c r="I29" s="10"/>
      <c r="J29" s="123"/>
      <c r="K29" s="10"/>
      <c r="L29" s="10"/>
      <c r="M29" s="10"/>
      <c r="N29" s="10"/>
      <c r="O29" s="123"/>
      <c r="P29" s="10"/>
      <c r="Q29" s="24"/>
      <c r="R29" s="8"/>
      <c r="S29" s="8"/>
    </row>
    <row r="30" spans="1:19" x14ac:dyDescent="0.25">
      <c r="A30" s="23">
        <v>27</v>
      </c>
      <c r="B30" s="16"/>
      <c r="C30" s="16"/>
      <c r="D30" s="15"/>
      <c r="E30" s="15"/>
      <c r="F30" s="10"/>
      <c r="G30" s="123"/>
      <c r="H30" s="10"/>
      <c r="I30" s="10"/>
      <c r="J30" s="123"/>
      <c r="K30" s="10"/>
      <c r="L30" s="10"/>
      <c r="M30" s="10"/>
      <c r="N30" s="10"/>
      <c r="O30" s="123"/>
      <c r="P30" s="10"/>
      <c r="Q30" s="24"/>
      <c r="R30" s="8"/>
      <c r="S30" s="8"/>
    </row>
    <row r="31" spans="1:19" x14ac:dyDescent="0.25">
      <c r="A31" s="23">
        <v>28</v>
      </c>
      <c r="B31" s="16"/>
      <c r="C31" s="16"/>
      <c r="D31" s="15"/>
      <c r="E31" s="15"/>
      <c r="F31" s="10"/>
      <c r="G31" s="123"/>
      <c r="H31" s="10"/>
      <c r="I31" s="10"/>
      <c r="J31" s="123"/>
      <c r="K31" s="10"/>
      <c r="L31" s="10"/>
      <c r="M31" s="10"/>
      <c r="N31" s="10"/>
      <c r="O31" s="123"/>
      <c r="P31" s="10"/>
      <c r="Q31" s="24"/>
      <c r="R31" s="8"/>
      <c r="S31" s="8"/>
    </row>
    <row r="32" spans="1:19" x14ac:dyDescent="0.25">
      <c r="A32" s="23">
        <v>29</v>
      </c>
      <c r="B32" s="17"/>
      <c r="C32" s="17"/>
      <c r="D32" s="17"/>
      <c r="E32" s="17"/>
      <c r="F32" s="17"/>
      <c r="G32" s="124"/>
      <c r="H32" s="17"/>
      <c r="I32" s="17"/>
      <c r="J32" s="124"/>
      <c r="K32" s="17"/>
      <c r="L32" s="17"/>
      <c r="M32" s="17"/>
      <c r="N32" s="17"/>
      <c r="O32" s="124"/>
      <c r="P32" s="17"/>
      <c r="Q32" s="25"/>
    </row>
    <row r="33" spans="1:17" x14ac:dyDescent="0.25">
      <c r="A33" s="56" t="s">
        <v>45</v>
      </c>
      <c r="B33" s="57"/>
      <c r="C33" s="60" t="s">
        <v>44</v>
      </c>
      <c r="D33" s="60"/>
      <c r="E33" s="17"/>
      <c r="F33" s="66"/>
      <c r="G33" s="66"/>
      <c r="H33" s="66"/>
      <c r="I33" s="66"/>
      <c r="J33" s="66"/>
      <c r="K33" s="66"/>
      <c r="L33" s="17"/>
      <c r="M33" s="17"/>
      <c r="N33" s="17"/>
      <c r="O33" s="17"/>
      <c r="P33" s="17"/>
      <c r="Q33" s="25"/>
    </row>
    <row r="34" spans="1:17" ht="15.75" thickBot="1" x14ac:dyDescent="0.3">
      <c r="A34" s="58"/>
      <c r="B34" s="59"/>
      <c r="C34" s="61"/>
      <c r="D34" s="61"/>
      <c r="E34" s="26"/>
      <c r="F34" s="67"/>
      <c r="G34" s="67"/>
      <c r="H34" s="67"/>
      <c r="I34" s="67"/>
      <c r="J34" s="67"/>
      <c r="K34" s="67"/>
      <c r="L34" s="26"/>
      <c r="M34" s="26"/>
      <c r="N34" s="26"/>
      <c r="O34" s="26"/>
      <c r="P34" s="26"/>
      <c r="Q34" s="27"/>
    </row>
  </sheetData>
  <mergeCells count="9">
    <mergeCell ref="G1:P1"/>
    <mergeCell ref="A33:B34"/>
    <mergeCell ref="C33:D34"/>
    <mergeCell ref="M2:N2"/>
    <mergeCell ref="A1:C2"/>
    <mergeCell ref="D1:E2"/>
    <mergeCell ref="F33:G34"/>
    <mergeCell ref="H33:I34"/>
    <mergeCell ref="J33:K34"/>
  </mergeCells>
  <hyperlinks>
    <hyperlink ref="A33:B34" location="'جدول حقوق ودستمزد'!C1" display="جدول حقوق ودستمزد" xr:uid="{00000000-0004-0000-0000-000000000000}"/>
    <hyperlink ref="C33:D34" location="'فیش حقوقی '!N1" display="فیش حقوقی" xr:uid="{00000000-0004-0000-0000-000001000000}"/>
  </hyperlink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W26"/>
  <sheetViews>
    <sheetView rightToLeft="1" tabSelected="1" zoomScale="70" zoomScaleNormal="70" workbookViewId="0">
      <selection activeCell="A5" sqref="A5"/>
    </sheetView>
  </sheetViews>
  <sheetFormatPr defaultRowHeight="15" x14ac:dyDescent="0.25"/>
  <cols>
    <col min="1" max="1" width="14.140625" bestFit="1" customWidth="1"/>
    <col min="2" max="2" width="13.85546875" bestFit="1" customWidth="1"/>
    <col min="3" max="3" width="17.140625" bestFit="1" customWidth="1"/>
    <col min="4" max="4" width="7.140625" bestFit="1" customWidth="1"/>
    <col min="5" max="5" width="10.140625" bestFit="1" customWidth="1"/>
    <col min="6" max="6" width="20.85546875" bestFit="1" customWidth="1"/>
    <col min="7" max="7" width="19.28515625" bestFit="1" customWidth="1"/>
    <col min="8" max="8" width="15.85546875" bestFit="1" customWidth="1"/>
    <col min="9" max="9" width="19.7109375" bestFit="1" customWidth="1"/>
    <col min="10" max="10" width="15.85546875" bestFit="1" customWidth="1"/>
    <col min="11" max="11" width="14.140625" bestFit="1" customWidth="1"/>
    <col min="12" max="12" width="14.85546875" bestFit="1" customWidth="1"/>
    <col min="13" max="13" width="11.140625" bestFit="1" customWidth="1"/>
    <col min="14" max="14" width="21.7109375" bestFit="1" customWidth="1"/>
    <col min="15" max="15" width="22" bestFit="1" customWidth="1"/>
    <col min="16" max="16" width="20.5703125" bestFit="1" customWidth="1"/>
    <col min="17" max="17" width="22.140625" bestFit="1" customWidth="1"/>
    <col min="18" max="18" width="24.85546875" bestFit="1" customWidth="1"/>
    <col min="19" max="19" width="22.28515625" bestFit="1" customWidth="1"/>
    <col min="20" max="20" width="18" bestFit="1" customWidth="1"/>
    <col min="21" max="21" width="24.85546875" bestFit="1" customWidth="1"/>
    <col min="23" max="23" width="16.42578125" customWidth="1"/>
  </cols>
  <sheetData>
    <row r="1" spans="1:23" x14ac:dyDescent="0.25">
      <c r="A1" s="87">
        <v>2</v>
      </c>
      <c r="C1" s="92" t="s">
        <v>43</v>
      </c>
      <c r="D1" s="93" t="s">
        <v>44</v>
      </c>
      <c r="E1" s="93"/>
      <c r="J1" s="86" t="str">
        <f>CHOOSE(A1,"فــروردین ","اردیـبـهشت","خــــرداد","تـــــــیــر","مـــــــرداد","شهـــــریور","مـــــــــهـــــر","آبـــــــان","آذر","دی ","بـــــــهــمـــن","اســـــفــند")</f>
        <v>اردیـبـهشت</v>
      </c>
      <c r="K1" s="86"/>
      <c r="L1" s="86"/>
    </row>
    <row r="2" spans="1:23" x14ac:dyDescent="0.25">
      <c r="A2" s="87"/>
      <c r="C2" s="92"/>
      <c r="D2" s="93"/>
      <c r="E2" s="93"/>
      <c r="J2" s="86"/>
      <c r="K2" s="86"/>
      <c r="L2" s="86"/>
    </row>
    <row r="3" spans="1:23" ht="15.75" thickBot="1" x14ac:dyDescent="0.3"/>
    <row r="4" spans="1:23" ht="30" x14ac:dyDescent="0.25">
      <c r="A4" s="88" t="s">
        <v>6</v>
      </c>
      <c r="B4" s="89"/>
      <c r="C4" s="89"/>
      <c r="D4" s="90" t="s">
        <v>90</v>
      </c>
      <c r="E4" s="90"/>
      <c r="F4" s="91" t="s">
        <v>9</v>
      </c>
      <c r="G4" s="91"/>
      <c r="H4" s="91"/>
      <c r="I4" s="91"/>
      <c r="J4" s="91"/>
      <c r="K4" s="91"/>
      <c r="L4" s="91"/>
      <c r="M4" s="91"/>
      <c r="N4" s="78" t="s">
        <v>20</v>
      </c>
      <c r="O4" s="72" t="s">
        <v>46</v>
      </c>
      <c r="P4" s="78" t="s">
        <v>15</v>
      </c>
      <c r="Q4" s="77" t="s">
        <v>11</v>
      </c>
      <c r="R4" s="77"/>
      <c r="S4" s="77"/>
      <c r="T4" s="77"/>
      <c r="U4" s="80" t="s">
        <v>93</v>
      </c>
      <c r="V4" s="82" t="s">
        <v>92</v>
      </c>
      <c r="W4" s="83"/>
    </row>
    <row r="5" spans="1:23" s="1" customFormat="1" ht="33" customHeight="1" thickBot="1" x14ac:dyDescent="0.3">
      <c r="A5" s="28" t="s">
        <v>2</v>
      </c>
      <c r="B5" s="29" t="s">
        <v>0</v>
      </c>
      <c r="C5" s="29" t="s">
        <v>1</v>
      </c>
      <c r="D5" s="29" t="s">
        <v>8</v>
      </c>
      <c r="E5" s="29" t="s">
        <v>54</v>
      </c>
      <c r="F5" s="29" t="s">
        <v>3</v>
      </c>
      <c r="G5" s="29" t="s">
        <v>7</v>
      </c>
      <c r="H5" s="29" t="s">
        <v>4</v>
      </c>
      <c r="I5" s="29" t="s">
        <v>5</v>
      </c>
      <c r="J5" s="29" t="s">
        <v>39</v>
      </c>
      <c r="K5" s="29" t="str">
        <f>'جدول داده ها'!L3</f>
        <v>حق جذب</v>
      </c>
      <c r="L5" s="29" t="s">
        <v>19</v>
      </c>
      <c r="M5" s="29" t="s">
        <v>10</v>
      </c>
      <c r="N5" s="79"/>
      <c r="O5" s="73"/>
      <c r="P5" s="79"/>
      <c r="Q5" s="29" t="s">
        <v>14</v>
      </c>
      <c r="R5" s="29" t="str">
        <f>'جدول داده ها'!Q3</f>
        <v>مساعده/اقساط وام /سایر کسورات</v>
      </c>
      <c r="S5" s="29" t="s">
        <v>13</v>
      </c>
      <c r="T5" s="29" t="s">
        <v>12</v>
      </c>
      <c r="U5" s="81"/>
      <c r="V5" s="84"/>
      <c r="W5" s="85"/>
    </row>
    <row r="6" spans="1:23" ht="27" thickBot="1" x14ac:dyDescent="0.65">
      <c r="A6" s="30">
        <v>1</v>
      </c>
      <c r="B6" s="31" t="str">
        <f>INDEX('جدول داده ها'!B4:B32,MATCH(A6,'جدول داده ها'!A4:A32,0),1)</f>
        <v>محمد جواد</v>
      </c>
      <c r="C6" s="31" t="str">
        <f>INDEX('جدول داده ها'!C4:C32,MATCH(A6,'جدول داده ها'!A4:A32,0),1)</f>
        <v>آذری جهرمی</v>
      </c>
      <c r="D6" s="32">
        <f>VLOOKUP(A6,'جدول داده ها'!$A$4:$Q$32,4,FALSE)</f>
        <v>31</v>
      </c>
      <c r="E6" s="36">
        <f>VLOOKUP(A6,'جدول داده ها'!$A$4:$Q$32,5,FALSE)</f>
        <v>20</v>
      </c>
      <c r="F6" s="51">
        <f>VLOOKUP(A6,'جدول داده ها'!$A$4:$Q$32,7,FALSE)</f>
        <v>18966079</v>
      </c>
      <c r="G6" s="33">
        <f>E6*1.4*(VLOOKUP(A6,'جدول داده ها'!$A$4:$Q$32,7,FALSE)/D6)/7.33</f>
        <v>2337060.3001364255</v>
      </c>
      <c r="H6" s="33">
        <f>'جدول داده ها'!H4</f>
        <v>1000000</v>
      </c>
      <c r="I6" s="51">
        <f>VLOOKUP(A6,'جدول داده ها'!$A$4:$Q$32,10,FALSE)</f>
        <v>1835420</v>
      </c>
      <c r="J6" s="51">
        <f>VLOOKUP(A6,'جدول داده ها'!$A$4:$Q$32,11,FALSE)</f>
        <v>4000000</v>
      </c>
      <c r="K6" s="51">
        <f>VLOOKUP(A6,'جدول داده ها'!$A$4:$Q$32,12,FALSE)</f>
        <v>500000</v>
      </c>
      <c r="L6" s="51">
        <f>VLOOKUP(A6,'جدول داده ها'!$A$4:$Q$32,15,FALSE)</f>
        <v>1000000</v>
      </c>
      <c r="M6" s="51">
        <f>VLOOKUP(A6,'جدول داده ها'!$A$4:$Q$32,16,FALSE)</f>
        <v>0</v>
      </c>
      <c r="N6" s="33">
        <f>SUM(F6:K6,M6)</f>
        <v>28638559.300136425</v>
      </c>
      <c r="O6" s="33">
        <f>SUM(F6:H6,K6,M6)</f>
        <v>22803139.300136425</v>
      </c>
      <c r="P6" s="33">
        <f>SUM(F6:M6)</f>
        <v>29638559.300136425</v>
      </c>
      <c r="Q6" s="33">
        <f>IF(AND(N6&gt;'اقلام حقوق و دستمزد'!$B$8,N6&lt;='اقلام حقوق و دستمزد'!$B$9),(N6-('اقلام حقوق و دستمزد'!$B$8))*0.1,IF(AND(N6&gt;'اقلام حقوق و دستمزد'!$B$9,N6&lt;='اقلام حقوق و دستمزد'!$B$10),(N6-('اقلام حقوق و دستمزد'!$B$9))*0.15+(4500000),IF(AND(N6&gt;'اقلام حقوق و دستمزد'!$B$10,N6&lt;='اقلام حقوق و دستمزد'!$B$10),(N6-('اقلام حقوق و دستمزد'!$B$10))*0.2+(4500000),IF(AND(N6&gt;'اقلام حقوق و دستمزد'!$B$10,N6&lt;='اقلام حقوق و دستمزد'!$B$11),(N6-('اقلام حقوق و دستمزد'!$B$10))*0.25+(90000000),0))))</f>
        <v>0</v>
      </c>
      <c r="R6" s="33">
        <f>VLOOKUP(A6,'جدول داده ها'!$A$4:$Q$22,15,FALSE)</f>
        <v>1000000</v>
      </c>
      <c r="S6" s="33">
        <f>O6*0.3</f>
        <v>6840941.790040927</v>
      </c>
      <c r="T6" s="33">
        <f>O6*0.07</f>
        <v>1596219.7510095499</v>
      </c>
      <c r="U6" s="33">
        <f>SUM(Q6:R6,T6)</f>
        <v>2596219.7510095499</v>
      </c>
      <c r="V6" s="70">
        <f>P6-U6</f>
        <v>27042339.549126875</v>
      </c>
      <c r="W6" s="71"/>
    </row>
    <row r="7" spans="1:23" ht="27" thickBot="1" x14ac:dyDescent="0.65">
      <c r="A7" s="35">
        <v>2</v>
      </c>
      <c r="B7" s="31" t="str">
        <f>INDEX('جدول داده ها'!B5:B33,MATCH(A7,'جدول داده ها'!A5:A33,0),1)</f>
        <v xml:space="preserve">جلال </v>
      </c>
      <c r="C7" s="31" t="str">
        <f>INDEX('جدول داده ها'!C5:C33,MATCH(A7,'جدول داده ها'!A5:A33,0),1)</f>
        <v>همتی</v>
      </c>
      <c r="D7" s="32">
        <f>VLOOKUP(A7,'جدول داده ها'!$A$4:$Q$32,4,FALSE)</f>
        <v>31</v>
      </c>
      <c r="E7" s="36">
        <f>VLOOKUP(A7,'جدول داده ها'!$A$4:$Q$32,5,FALSE)</f>
        <v>21</v>
      </c>
      <c r="F7" s="51">
        <f>VLOOKUP(A7,'جدول داده ها'!$A$4:$Q$32,7,FALSE)</f>
        <v>15500000</v>
      </c>
      <c r="G7" s="51">
        <f>E7*1.4*(VLOOKUP(A7,'جدول داده ها'!$A$4:$Q$32,7,FALSE)/D7)/7.33</f>
        <v>2005457.025920873</v>
      </c>
      <c r="H7" s="37">
        <f>'جدول داده ها'!H5</f>
        <v>1000000</v>
      </c>
      <c r="I7" s="51">
        <f>VLOOKUP(A7,'جدول داده ها'!$A$4:$Q$32,10,FALSE)</f>
        <v>3670840</v>
      </c>
      <c r="J7" s="51">
        <f>VLOOKUP(A7,'جدول داده ها'!$A$4:$Q$32,11,FALSE)</f>
        <v>4000000</v>
      </c>
      <c r="K7" s="51">
        <f>VLOOKUP(A7,'جدول داده ها'!$A$4:$Q$32,12,FALSE)</f>
        <v>550000</v>
      </c>
      <c r="L7" s="51">
        <f>VLOOKUP(A7,'جدول داده ها'!$A$4:$Q$32,15,FALSE)</f>
        <v>500000</v>
      </c>
      <c r="M7" s="51">
        <f>VLOOKUP(A7,'جدول داده ها'!$A$4:$Q$32,16,FALSE)</f>
        <v>0</v>
      </c>
      <c r="N7" s="37">
        <f t="shared" ref="N7:N15" si="0">SUM(F7:K7,M7)</f>
        <v>26726297.025920872</v>
      </c>
      <c r="O7" s="37">
        <f>SUM(F7:H7,K7,M7)</f>
        <v>19055457.025920872</v>
      </c>
      <c r="P7" s="37">
        <f t="shared" ref="P7:P24" si="1">SUM(F7:M7)</f>
        <v>27226297.025920872</v>
      </c>
      <c r="Q7" s="34">
        <f>IF(AND(N7&gt;'اقلام حقوق و دستمزد'!$B$8,N7&lt;='اقلام حقوق و دستمزد'!$B$9),(N7-('اقلام حقوق و دستمزد'!$B$8))*0.1,IF(AND(N7&gt;'اقلام حقوق و دستمزد'!$B$9,N7&lt;='اقلام حقوق و دستمزد'!$B$10),(N7-('اقلام حقوق و دستمزد'!$B$9))*0.15+(4500000),IF(AND(N7&gt;'اقلام حقوق و دستمزد'!$B$10,N7&lt;='اقلام حقوق و دستمزد'!$B$10),(N7-('اقلام حقوق و دستمزد'!$B$10))*0.2+(4500000),IF(AND(N7&gt;'اقلام حقوق و دستمزد'!$B$10,N7&lt;='اقلام حقوق و دستمزد'!$B$11),(N7-('اقلام حقوق و دستمزد'!$B$10))*0.25+(90000000),0))))</f>
        <v>0</v>
      </c>
      <c r="R7" s="37">
        <f>VLOOKUP(A7,'جدول داده ها'!$A$4:$Q$22,15,FALSE)</f>
        <v>500000</v>
      </c>
      <c r="S7" s="33">
        <f t="shared" ref="S7:S24" si="2">O7*0.3</f>
        <v>5716637.1077762609</v>
      </c>
      <c r="T7" s="33">
        <f t="shared" ref="T7:T24" si="3">O7*0.07</f>
        <v>1333881.9918144611</v>
      </c>
      <c r="U7" s="37">
        <f t="shared" ref="U7:U23" si="4">SUM(Q7:R7,T7)</f>
        <v>1833881.9918144611</v>
      </c>
      <c r="V7" s="68">
        <f t="shared" ref="V7:V24" si="5">P7-U7</f>
        <v>25392415.034106411</v>
      </c>
      <c r="W7" s="69"/>
    </row>
    <row r="8" spans="1:23" ht="27" thickBot="1" x14ac:dyDescent="0.65">
      <c r="A8" s="30">
        <v>3</v>
      </c>
      <c r="B8" s="31" t="str">
        <f>INDEX('جدول داده ها'!B6:B34,MATCH(A8,'جدول داده ها'!A6:A34,0),1)</f>
        <v xml:space="preserve">حسین </v>
      </c>
      <c r="C8" s="31" t="str">
        <f>INDEX('جدول داده ها'!C6:C34,MATCH(A8,'جدول داده ها'!A6:A34,0),1)</f>
        <v>یکتا</v>
      </c>
      <c r="D8" s="32">
        <f>VLOOKUP(A8,'جدول داده ها'!$A$4:$Q$32,4,FALSE)</f>
        <v>31</v>
      </c>
      <c r="E8" s="36">
        <f>VLOOKUP(A8,'جدول داده ها'!$A$4:$Q$32,5,FALSE)</f>
        <v>6</v>
      </c>
      <c r="F8" s="51">
        <f>VLOOKUP(A8,'جدول داده ها'!$A$4:$Q$32,7,FALSE)</f>
        <v>18966079</v>
      </c>
      <c r="G8" s="51">
        <f>E8*1.4*(VLOOKUP(A8,'جدول داده ها'!$A$4:$Q$32,7,FALSE)/D8)/7.33</f>
        <v>701118.09004092752</v>
      </c>
      <c r="H8" s="37">
        <f>'جدول داده ها'!H6</f>
        <v>1000000</v>
      </c>
      <c r="I8" s="51">
        <f>VLOOKUP(A8,'جدول داده ها'!$A$4:$Q$32,10,FALSE)</f>
        <v>0</v>
      </c>
      <c r="J8" s="51">
        <f>VLOOKUP(A8,'جدول داده ها'!$A$4:$Q$32,11,FALSE)</f>
        <v>4000000</v>
      </c>
      <c r="K8" s="51">
        <f>VLOOKUP(A8,'جدول داده ها'!$A$4:$Q$32,12,FALSE)</f>
        <v>0</v>
      </c>
      <c r="L8" s="51">
        <f>VLOOKUP(A8,'جدول داده ها'!$A$4:$Q$32,15,FALSE)</f>
        <v>0</v>
      </c>
      <c r="M8" s="51">
        <f>VLOOKUP(A8,'جدول داده ها'!$A$4:$Q$32,16,FALSE)</f>
        <v>0</v>
      </c>
      <c r="N8" s="37">
        <f t="shared" si="0"/>
        <v>24667197.090040926</v>
      </c>
      <c r="O8" s="37">
        <f t="shared" ref="O8:O23" si="6">SUM(F8:H8,K8,M8)</f>
        <v>20667197.090040926</v>
      </c>
      <c r="P8" s="37">
        <f t="shared" si="1"/>
        <v>24667197.090040926</v>
      </c>
      <c r="Q8" s="34">
        <f>IF(AND(N8&gt;'اقلام حقوق و دستمزد'!$B$8,N8&lt;='اقلام حقوق و دستمزد'!$B$9),(N8-('اقلام حقوق و دستمزد'!$B$8))*0.1,IF(AND(N8&gt;'اقلام حقوق و دستمزد'!$B$9,N8&lt;='اقلام حقوق و دستمزد'!$B$10),(N8-('اقلام حقوق و دستمزد'!$B$9))*0.15+(4500000),IF(AND(N8&gt;'اقلام حقوق و دستمزد'!$B$10,N8&lt;='اقلام حقوق و دستمزد'!$B$10),(N8-('اقلام حقوق و دستمزد'!$B$10))*0.2+(4500000),IF(AND(N8&gt;'اقلام حقوق و دستمزد'!$B$10,N8&lt;='اقلام حقوق و دستمزد'!$B$11),(N8-('اقلام حقوق و دستمزد'!$B$10))*0.25+(90000000),0))))</f>
        <v>0</v>
      </c>
      <c r="R8" s="37">
        <f>VLOOKUP(A8,'جدول داده ها'!$A$4:$Q$22,15,FALSE)</f>
        <v>0</v>
      </c>
      <c r="S8" s="33">
        <f t="shared" si="2"/>
        <v>6200159.127012278</v>
      </c>
      <c r="T8" s="33">
        <f t="shared" si="3"/>
        <v>1446703.796302865</v>
      </c>
      <c r="U8" s="37">
        <f t="shared" si="4"/>
        <v>1446703.796302865</v>
      </c>
      <c r="V8" s="68">
        <f t="shared" si="5"/>
        <v>23220493.29373806</v>
      </c>
      <c r="W8" s="69"/>
    </row>
    <row r="9" spans="1:23" ht="27" thickBot="1" x14ac:dyDescent="0.65">
      <c r="A9" s="35">
        <v>4</v>
      </c>
      <c r="B9" s="31" t="str">
        <f>INDEX('جدول داده ها'!B7:B35,MATCH(A9,'جدول داده ها'!A7:A35,0),1)</f>
        <v>جواد</v>
      </c>
      <c r="C9" s="31" t="str">
        <f>INDEX('جدول داده ها'!C7:C35,MATCH(A9,'جدول داده ها'!A7:A35,0),1)</f>
        <v>ظریف</v>
      </c>
      <c r="D9" s="32">
        <f>VLOOKUP(A9,'جدول داده ها'!$A$4:$Q$32,4,FALSE)</f>
        <v>31</v>
      </c>
      <c r="E9" s="36">
        <f>VLOOKUP(A9,'جدول داده ها'!$A$4:$Q$32,5,FALSE)</f>
        <v>8</v>
      </c>
      <c r="F9" s="51">
        <f>VLOOKUP(A9,'جدول داده ها'!$A$4:$Q$32,7,FALSE)</f>
        <v>18966079</v>
      </c>
      <c r="G9" s="51">
        <f>E9*1.4*(VLOOKUP(A9,'جدول داده ها'!$A$4:$Q$32,7,FALSE)/D9)/7.33</f>
        <v>934824.12005457026</v>
      </c>
      <c r="H9" s="37">
        <f>'جدول داده ها'!H7</f>
        <v>1000000</v>
      </c>
      <c r="I9" s="51">
        <f>VLOOKUP(A9,'جدول داده ها'!$A$4:$Q$32,10,FALSE)</f>
        <v>5506260</v>
      </c>
      <c r="J9" s="51">
        <f>VLOOKUP(A9,'جدول داده ها'!$A$4:$Q$32,11,FALSE)</f>
        <v>4000000</v>
      </c>
      <c r="K9" s="51">
        <f>VLOOKUP(A9,'جدول داده ها'!$A$4:$Q$32,12,FALSE)</f>
        <v>0</v>
      </c>
      <c r="L9" s="51">
        <f>VLOOKUP(A9,'جدول داده ها'!$A$4:$Q$32,15,FALSE)</f>
        <v>0</v>
      </c>
      <c r="M9" s="51">
        <f>VLOOKUP(A9,'جدول داده ها'!$A$4:$Q$32,16,FALSE)</f>
        <v>0</v>
      </c>
      <c r="N9" s="37">
        <f t="shared" si="0"/>
        <v>30407163.120054569</v>
      </c>
      <c r="O9" s="37">
        <f t="shared" si="6"/>
        <v>20900903.120054569</v>
      </c>
      <c r="P9" s="37">
        <f t="shared" si="1"/>
        <v>30407163.120054569</v>
      </c>
      <c r="Q9" s="34">
        <f>IF(AND(N9&gt;'اقلام حقوق و دستمزد'!$B$8,N9&lt;='اقلام حقوق و دستمزد'!$B$9),(N9-('اقلام حقوق و دستمزد'!$B$8))*0.1,IF(AND(N9&gt;'اقلام حقوق و دستمزد'!$B$9,N9&lt;='اقلام حقوق و دستمزد'!$B$10),(N9-('اقلام حقوق و دستمزد'!$B$9))*0.15+(4500000),IF(AND(N9&gt;'اقلام حقوق و دستمزد'!$B$10,N9&lt;='اقلام حقوق و دستمزد'!$B$10),(N9-('اقلام حقوق و دستمزد'!$B$10))*0.2+(4500000),IF(AND(N9&gt;'اقلام حقوق و دستمزد'!$B$10,N9&lt;='اقلام حقوق و دستمزد'!$B$11),(N9-('اقلام حقوق و دستمزد'!$B$10))*0.25+(90000000),0))))</f>
        <v>40716.312005456915</v>
      </c>
      <c r="R9" s="37">
        <f>VLOOKUP(A9,'جدول داده ها'!$A$4:$Q$22,15,FALSE)</f>
        <v>0</v>
      </c>
      <c r="S9" s="33">
        <f t="shared" si="2"/>
        <v>6270270.9360163705</v>
      </c>
      <c r="T9" s="33">
        <f t="shared" si="3"/>
        <v>1463063.2184038199</v>
      </c>
      <c r="U9" s="37">
        <f t="shared" si="4"/>
        <v>1503779.530409277</v>
      </c>
      <c r="V9" s="68">
        <f t="shared" si="5"/>
        <v>28903383.589645293</v>
      </c>
      <c r="W9" s="69"/>
    </row>
    <row r="10" spans="1:23" ht="27" thickBot="1" x14ac:dyDescent="0.65">
      <c r="A10" s="30">
        <v>5</v>
      </c>
      <c r="B10" s="31" t="str">
        <f>INDEX('جدول داده ها'!B8:B36,MATCH(A10,'جدول داده ها'!A8:A36,0),1)</f>
        <v>صادق</v>
      </c>
      <c r="C10" s="31" t="str">
        <f>INDEX('جدول داده ها'!C8:C36,MATCH(A10,'جدول داده ها'!A8:A36,0),1)</f>
        <v>زیباکلام</v>
      </c>
      <c r="D10" s="32">
        <f>VLOOKUP(A10,'جدول داده ها'!$A$4:$Q$32,4,FALSE)</f>
        <v>31</v>
      </c>
      <c r="E10" s="36">
        <f>VLOOKUP(A10,'جدول داده ها'!$A$4:$Q$32,5,FALSE)</f>
        <v>14</v>
      </c>
      <c r="F10" s="51">
        <f>VLOOKUP(A10,'جدول داده ها'!$A$4:$Q$32,7,FALSE)</f>
        <v>18966079</v>
      </c>
      <c r="G10" s="51">
        <f>E10*1.4*(VLOOKUP(A10,'جدول داده ها'!$A$4:$Q$32,7,FALSE)/D10)/7.33</f>
        <v>1635942.2100954978</v>
      </c>
      <c r="H10" s="37">
        <f>'جدول داده ها'!H8</f>
        <v>1000000</v>
      </c>
      <c r="I10" s="51">
        <f>VLOOKUP(A10,'جدول داده ها'!$A$4:$Q$32,10,FALSE)</f>
        <v>3670840</v>
      </c>
      <c r="J10" s="51">
        <f>VLOOKUP(A10,'جدول داده ها'!$A$4:$Q$32,11,FALSE)</f>
        <v>4000000</v>
      </c>
      <c r="K10" s="51">
        <f>VLOOKUP(A10,'جدول داده ها'!$A$4:$Q$32,12,FALSE)</f>
        <v>0</v>
      </c>
      <c r="L10" s="51">
        <f>VLOOKUP(A10,'جدول داده ها'!$A$4:$Q$32,15,FALSE)</f>
        <v>0</v>
      </c>
      <c r="M10" s="51">
        <f>VLOOKUP(A10,'جدول داده ها'!$A$4:$Q$32,16,FALSE)</f>
        <v>0</v>
      </c>
      <c r="N10" s="37">
        <f t="shared" si="0"/>
        <v>29272861.210095499</v>
      </c>
      <c r="O10" s="37">
        <f t="shared" si="6"/>
        <v>21602021.210095499</v>
      </c>
      <c r="P10" s="37">
        <f t="shared" si="1"/>
        <v>29272861.210095499</v>
      </c>
      <c r="Q10" s="34">
        <f>IF(AND(N10&gt;'اقلام حقوق و دستمزد'!$B$8,N10&lt;='اقلام حقوق و دستمزد'!$B$9),(N10-('اقلام حقوق و دستمزد'!$B$8))*0.1,IF(AND(N10&gt;'اقلام حقوق و دستمزد'!$B$9,N10&lt;='اقلام حقوق و دستمزد'!$B$10),(N10-('اقلام حقوق و دستمزد'!$B$9))*0.15+(4500000),IF(AND(N10&gt;'اقلام حقوق و دستمزد'!$B$10,N10&lt;='اقلام حقوق و دستمزد'!$B$10),(N10-('اقلام حقوق و دستمزد'!$B$10))*0.2+(4500000),IF(AND(N10&gt;'اقلام حقوق و دستمزد'!$B$10,N10&lt;='اقلام حقوق و دستمزد'!$B$11),(N10-('اقلام حقوق و دستمزد'!$B$10))*0.25+(90000000),0))))</f>
        <v>0</v>
      </c>
      <c r="R10" s="37">
        <f>VLOOKUP(A10,'جدول داده ها'!$A$4:$Q$22,15,FALSE)</f>
        <v>0</v>
      </c>
      <c r="S10" s="33">
        <f t="shared" si="2"/>
        <v>6480606.3630286492</v>
      </c>
      <c r="T10" s="33">
        <f t="shared" si="3"/>
        <v>1512141.4847066849</v>
      </c>
      <c r="U10" s="37">
        <f t="shared" si="4"/>
        <v>1512141.4847066849</v>
      </c>
      <c r="V10" s="68">
        <f t="shared" si="5"/>
        <v>27760719.725388814</v>
      </c>
      <c r="W10" s="69"/>
    </row>
    <row r="11" spans="1:23" ht="27" thickBot="1" x14ac:dyDescent="0.65">
      <c r="A11" s="35">
        <v>6</v>
      </c>
      <c r="B11" s="31" t="str">
        <f>INDEX('جدول داده ها'!B9:B37,MATCH(A11,'جدول داده ها'!A9:A37,0),1)</f>
        <v>نازنین</v>
      </c>
      <c r="C11" s="31" t="str">
        <f>INDEX('جدول داده ها'!C9:C37,MATCH(A11,'جدول داده ها'!A9:A37,0),1)</f>
        <v>زاغری</v>
      </c>
      <c r="D11" s="32">
        <f>VLOOKUP(A11,'جدول داده ها'!$A$4:$Q$32,4,FALSE)</f>
        <v>31</v>
      </c>
      <c r="E11" s="36">
        <f>VLOOKUP(A11,'جدول داده ها'!$A$4:$Q$32,5,FALSE)</f>
        <v>18</v>
      </c>
      <c r="F11" s="51">
        <f>VLOOKUP(A11,'جدول داده ها'!$A$4:$Q$32,7,FALSE)</f>
        <v>18966079</v>
      </c>
      <c r="G11" s="51">
        <f>E11*1.4*(VLOOKUP(A11,'جدول داده ها'!$A$4:$Q$32,7,FALSE)/D11)/7.33</f>
        <v>2103354.2701227828</v>
      </c>
      <c r="H11" s="37">
        <f>'جدول داده ها'!H9</f>
        <v>1000000</v>
      </c>
      <c r="I11" s="51">
        <f>VLOOKUP(A11,'جدول داده ها'!$A$4:$Q$32,10,FALSE)</f>
        <v>0</v>
      </c>
      <c r="J11" s="51">
        <f>VLOOKUP(A11,'جدول داده ها'!$A$4:$Q$32,11,FALSE)</f>
        <v>4000000</v>
      </c>
      <c r="K11" s="51">
        <f>VLOOKUP(A11,'جدول داده ها'!$A$4:$Q$32,12,FALSE)</f>
        <v>0</v>
      </c>
      <c r="L11" s="51">
        <f>VLOOKUP(A11,'جدول داده ها'!$A$4:$Q$32,15,FALSE)</f>
        <v>0</v>
      </c>
      <c r="M11" s="51">
        <f>VLOOKUP(A11,'جدول داده ها'!$A$4:$Q$32,16,FALSE)</f>
        <v>0</v>
      </c>
      <c r="N11" s="37">
        <f t="shared" si="0"/>
        <v>26069433.270122781</v>
      </c>
      <c r="O11" s="37">
        <f t="shared" si="6"/>
        <v>22069433.270122781</v>
      </c>
      <c r="P11" s="37">
        <f t="shared" si="1"/>
        <v>26069433.270122781</v>
      </c>
      <c r="Q11" s="34">
        <f>IF(AND(N11&gt;'اقلام حقوق و دستمزد'!$B$8,N11&lt;='اقلام حقوق و دستمزد'!$B$9),(N11-('اقلام حقوق و دستمزد'!$B$8))*0.1,IF(AND(N11&gt;'اقلام حقوق و دستمزد'!$B$9,N11&lt;='اقلام حقوق و دستمزد'!$B$10),(N11-('اقلام حقوق و دستمزد'!$B$9))*0.15+(4500000),IF(AND(N11&gt;'اقلام حقوق و دستمزد'!$B$10,N11&lt;='اقلام حقوق و دستمزد'!$B$10),(N11-('اقلام حقوق و دستمزد'!$B$10))*0.2+(4500000),IF(AND(N11&gt;'اقلام حقوق و دستمزد'!$B$10,N11&lt;='اقلام حقوق و دستمزد'!$B$11),(N11-('اقلام حقوق و دستمزد'!$B$10))*0.25+(90000000),0))))</f>
        <v>0</v>
      </c>
      <c r="R11" s="37">
        <f>VLOOKUP(A11,'جدول داده ها'!$A$4:$Q$22,15,FALSE)</f>
        <v>0</v>
      </c>
      <c r="S11" s="33">
        <f t="shared" si="2"/>
        <v>6620829.9810368344</v>
      </c>
      <c r="T11" s="33">
        <f t="shared" si="3"/>
        <v>1544860.3289085948</v>
      </c>
      <c r="U11" s="37">
        <f t="shared" si="4"/>
        <v>1544860.3289085948</v>
      </c>
      <c r="V11" s="68">
        <f t="shared" si="5"/>
        <v>24524572.941214185</v>
      </c>
      <c r="W11" s="69"/>
    </row>
    <row r="12" spans="1:23" ht="27" thickBot="1" x14ac:dyDescent="0.65">
      <c r="A12" s="30">
        <v>7</v>
      </c>
      <c r="B12" s="31" t="str">
        <f>INDEX('جدول داده ها'!B10:B38,MATCH(A12,'جدول داده ها'!A10:A38,0),1)</f>
        <v>نیلوفر</v>
      </c>
      <c r="C12" s="31" t="str">
        <f>INDEX('جدول داده ها'!C10:C38,MATCH(A12,'جدول داده ها'!A10:A38,0),1)</f>
        <v>ابتکار</v>
      </c>
      <c r="D12" s="32">
        <f>VLOOKUP(A12,'جدول داده ها'!$A$4:$Q$32,4,FALSE)</f>
        <v>31</v>
      </c>
      <c r="E12" s="36">
        <f>VLOOKUP(A12,'جدول داده ها'!$A$4:$Q$32,5,FALSE)</f>
        <v>10</v>
      </c>
      <c r="F12" s="51">
        <f>VLOOKUP(A12,'جدول داده ها'!$A$4:$Q$32,7,FALSE)</f>
        <v>18966079</v>
      </c>
      <c r="G12" s="51">
        <f>E12*1.4*(VLOOKUP(A12,'جدول داده ها'!$A$4:$Q$32,7,FALSE)/D12)/7.33</f>
        <v>1168530.1500682128</v>
      </c>
      <c r="H12" s="37">
        <f>'جدول داده ها'!H10</f>
        <v>1000000</v>
      </c>
      <c r="I12" s="51">
        <f>VLOOKUP(A12,'جدول داده ها'!$A$4:$Q$32,10,FALSE)</f>
        <v>0</v>
      </c>
      <c r="J12" s="51">
        <f>VLOOKUP(A12,'جدول داده ها'!$A$4:$Q$32,11,FALSE)</f>
        <v>4000000</v>
      </c>
      <c r="K12" s="51">
        <f>VLOOKUP(A12,'جدول داده ها'!$A$4:$Q$32,12,FALSE)</f>
        <v>300000</v>
      </c>
      <c r="L12" s="51">
        <f>VLOOKUP(A12,'جدول داده ها'!$A$4:$Q$32,15,FALSE)</f>
        <v>0</v>
      </c>
      <c r="M12" s="51">
        <f>VLOOKUP(A12,'جدول داده ها'!$A$4:$Q$32,16,FALSE)</f>
        <v>0</v>
      </c>
      <c r="N12" s="37">
        <f t="shared" si="0"/>
        <v>25434609.150068212</v>
      </c>
      <c r="O12" s="37">
        <f t="shared" si="6"/>
        <v>21434609.150068212</v>
      </c>
      <c r="P12" s="37">
        <f t="shared" si="1"/>
        <v>25434609.150068212</v>
      </c>
      <c r="Q12" s="34">
        <f>IF(AND(N12&gt;'اقلام حقوق و دستمزد'!$B$8,N12&lt;='اقلام حقوق و دستمزد'!$B$9),(N12-('اقلام حقوق و دستمزد'!$B$8))*0.1,IF(AND(N12&gt;'اقلام حقوق و دستمزد'!$B$9,N12&lt;='اقلام حقوق و دستمزد'!$B$10),(N12-('اقلام حقوق و دستمزد'!$B$9))*0.15+(4500000),IF(AND(N12&gt;'اقلام حقوق و دستمزد'!$B$10,N12&lt;='اقلام حقوق و دستمزد'!$B$10),(N12-('اقلام حقوق و دستمزد'!$B$10))*0.2+(4500000),IF(AND(N12&gt;'اقلام حقوق و دستمزد'!$B$10,N12&lt;='اقلام حقوق و دستمزد'!$B$11),(N12-('اقلام حقوق و دستمزد'!$B$10))*0.25+(90000000),0))))</f>
        <v>0</v>
      </c>
      <c r="R12" s="37">
        <f>VLOOKUP(A12,'جدول داده ها'!$A$4:$Q$22,15,FALSE)</f>
        <v>0</v>
      </c>
      <c r="S12" s="33">
        <f t="shared" si="2"/>
        <v>6430382.7450204631</v>
      </c>
      <c r="T12" s="33">
        <f t="shared" si="3"/>
        <v>1500422.6405047751</v>
      </c>
      <c r="U12" s="37">
        <f t="shared" si="4"/>
        <v>1500422.6405047751</v>
      </c>
      <c r="V12" s="68">
        <f t="shared" si="5"/>
        <v>23934186.509563439</v>
      </c>
      <c r="W12" s="69"/>
    </row>
    <row r="13" spans="1:23" ht="27" thickBot="1" x14ac:dyDescent="0.65">
      <c r="A13" s="35">
        <v>8</v>
      </c>
      <c r="B13" s="31" t="str">
        <f>INDEX('جدول داده ها'!B11:B39,MATCH(A13,'جدول داده ها'!A11:A39,0),1)</f>
        <v>سیامک</v>
      </c>
      <c r="C13" s="31" t="str">
        <f>INDEX('جدول داده ها'!C11:C39,MATCH(A13,'جدول داده ها'!A11:A39,0),1)</f>
        <v>نمازی</v>
      </c>
      <c r="D13" s="32">
        <f>VLOOKUP(A13,'جدول داده ها'!$A$4:$Q$32,4,FALSE)</f>
        <v>31</v>
      </c>
      <c r="E13" s="36">
        <f>VLOOKUP(A13,'جدول داده ها'!$A$4:$Q$32,5,FALSE)</f>
        <v>12</v>
      </c>
      <c r="F13" s="51">
        <f>VLOOKUP(A13,'جدول داده ها'!$A$4:$Q$32,7,FALSE)</f>
        <v>18966079</v>
      </c>
      <c r="G13" s="51">
        <f>E13*1.4*(VLOOKUP(A13,'جدول داده ها'!$A$4:$Q$32,7,FALSE)/D13)/7.33</f>
        <v>1402236.180081855</v>
      </c>
      <c r="H13" s="37">
        <f>'جدول داده ها'!H11</f>
        <v>1000000</v>
      </c>
      <c r="I13" s="51">
        <f>VLOOKUP(A13,'جدول داده ها'!$A$4:$Q$32,10,FALSE)</f>
        <v>0</v>
      </c>
      <c r="J13" s="51">
        <f>VLOOKUP(A13,'جدول داده ها'!$A$4:$Q$32,11,FALSE)</f>
        <v>4000000</v>
      </c>
      <c r="K13" s="51">
        <f>VLOOKUP(A13,'جدول داده ها'!$A$4:$Q$32,12,FALSE)</f>
        <v>350000</v>
      </c>
      <c r="L13" s="51">
        <f>VLOOKUP(A13,'جدول داده ها'!$A$4:$Q$32,15,FALSE)</f>
        <v>0</v>
      </c>
      <c r="M13" s="51">
        <f>VLOOKUP(A13,'جدول داده ها'!$A$4:$Q$32,16,FALSE)</f>
        <v>0</v>
      </c>
      <c r="N13" s="37">
        <f t="shared" si="0"/>
        <v>25718315.180081856</v>
      </c>
      <c r="O13" s="37">
        <f t="shared" si="6"/>
        <v>21718315.180081856</v>
      </c>
      <c r="P13" s="37">
        <f t="shared" si="1"/>
        <v>25718315.180081856</v>
      </c>
      <c r="Q13" s="34">
        <f>IF(AND(N13&gt;'اقلام حقوق و دستمزد'!$B$8,N13&lt;='اقلام حقوق و دستمزد'!$B$9),(N13-('اقلام حقوق و دستمزد'!$B$8))*0.1,IF(AND(N13&gt;'اقلام حقوق و دستمزد'!$B$9,N13&lt;='اقلام حقوق و دستمزد'!$B$10),(N13-('اقلام حقوق و دستمزد'!$B$9))*0.15+(4500000),IF(AND(N13&gt;'اقلام حقوق و دستمزد'!$B$10,N13&lt;='اقلام حقوق و دستمزد'!$B$10),(N13-('اقلام حقوق و دستمزد'!$B$10))*0.2+(4500000),IF(AND(N13&gt;'اقلام حقوق و دستمزد'!$B$10,N13&lt;='اقلام حقوق و دستمزد'!$B$11),(N13-('اقلام حقوق و دستمزد'!$B$10))*0.25+(90000000),0))))</f>
        <v>0</v>
      </c>
      <c r="R13" s="37">
        <f>VLOOKUP(A13,'جدول داده ها'!$A$4:$Q$22,15,FALSE)</f>
        <v>0</v>
      </c>
      <c r="S13" s="33">
        <f t="shared" si="2"/>
        <v>6515494.5540245567</v>
      </c>
      <c r="T13" s="33">
        <f t="shared" si="3"/>
        <v>1520282.06260573</v>
      </c>
      <c r="U13" s="37">
        <f t="shared" si="4"/>
        <v>1520282.06260573</v>
      </c>
      <c r="V13" s="68">
        <f t="shared" si="5"/>
        <v>24198033.117476124</v>
      </c>
      <c r="W13" s="69"/>
    </row>
    <row r="14" spans="1:23" ht="27" thickBot="1" x14ac:dyDescent="0.65">
      <c r="A14" s="30">
        <v>9</v>
      </c>
      <c r="B14" s="31" t="str">
        <f>INDEX('جدول داده ها'!B12:B40,MATCH(A14,'جدول داده ها'!A12:A40,0),1)</f>
        <v>داریوش</v>
      </c>
      <c r="C14" s="31" t="str">
        <f>INDEX('جدول داده ها'!C12:C40,MATCH(A14,'جدول داده ها'!A12:A40,0),1)</f>
        <v>اقبالی</v>
      </c>
      <c r="D14" s="32">
        <f>VLOOKUP(A14,'جدول داده ها'!$A$4:$Q$32,4,FALSE)</f>
        <v>31</v>
      </c>
      <c r="E14" s="36">
        <f>VLOOKUP(A14,'جدول داده ها'!$A$4:$Q$32,5,FALSE)</f>
        <v>11</v>
      </c>
      <c r="F14" s="51">
        <f>VLOOKUP(A14,'جدول داده ها'!$A$4:$Q$32,7,FALSE)</f>
        <v>18966079</v>
      </c>
      <c r="G14" s="51">
        <f>E14*1.4*(VLOOKUP(A14,'جدول داده ها'!$A$4:$Q$32,7,FALSE)/D14)/7.33</f>
        <v>1285383.1650750341</v>
      </c>
      <c r="H14" s="37">
        <f>'جدول داده ها'!H12</f>
        <v>1000000</v>
      </c>
      <c r="I14" s="51">
        <f>VLOOKUP(A14,'جدول داده ها'!$A$4:$Q$32,10,FALSE)</f>
        <v>0</v>
      </c>
      <c r="J14" s="51">
        <f>VLOOKUP(A14,'جدول داده ها'!$A$4:$Q$32,11,FALSE)</f>
        <v>4000000</v>
      </c>
      <c r="K14" s="51">
        <f>VLOOKUP(A14,'جدول داده ها'!$A$4:$Q$32,12,FALSE)</f>
        <v>450000</v>
      </c>
      <c r="L14" s="51">
        <f>VLOOKUP(A14,'جدول داده ها'!$A$4:$Q$32,15,FALSE)</f>
        <v>0</v>
      </c>
      <c r="M14" s="51">
        <f>VLOOKUP(A14,'جدول داده ها'!$A$4:$Q$32,16,FALSE)</f>
        <v>0</v>
      </c>
      <c r="N14" s="37">
        <f t="shared" si="0"/>
        <v>25701462.165075034</v>
      </c>
      <c r="O14" s="37">
        <f t="shared" si="6"/>
        <v>21701462.165075034</v>
      </c>
      <c r="P14" s="37">
        <f t="shared" si="1"/>
        <v>25701462.165075034</v>
      </c>
      <c r="Q14" s="34">
        <f>IF(AND(N14&gt;'اقلام حقوق و دستمزد'!$B$8,N14&lt;='اقلام حقوق و دستمزد'!$B$9),(N14-('اقلام حقوق و دستمزد'!$B$8))*0.1,IF(AND(N14&gt;'اقلام حقوق و دستمزد'!$B$9,N14&lt;='اقلام حقوق و دستمزد'!$B$10),(N14-('اقلام حقوق و دستمزد'!$B$9))*0.15+(4500000),IF(AND(N14&gt;'اقلام حقوق و دستمزد'!$B$10,N14&lt;='اقلام حقوق و دستمزد'!$B$10),(N14-('اقلام حقوق و دستمزد'!$B$10))*0.2+(4500000),IF(AND(N14&gt;'اقلام حقوق و دستمزد'!$B$10,N14&lt;='اقلام حقوق و دستمزد'!$B$11),(N14-('اقلام حقوق و دستمزد'!$B$10))*0.25+(90000000),0))))</f>
        <v>0</v>
      </c>
      <c r="R14" s="37">
        <f>VLOOKUP(A14,'جدول داده ها'!$A$4:$Q$22,15,FALSE)</f>
        <v>0</v>
      </c>
      <c r="S14" s="33">
        <f t="shared" si="2"/>
        <v>6510438.6495225104</v>
      </c>
      <c r="T14" s="33">
        <f t="shared" si="3"/>
        <v>1519102.3515552524</v>
      </c>
      <c r="U14" s="37">
        <f t="shared" si="4"/>
        <v>1519102.3515552524</v>
      </c>
      <c r="V14" s="68">
        <f t="shared" si="5"/>
        <v>24182359.813519783</v>
      </c>
      <c r="W14" s="69"/>
    </row>
    <row r="15" spans="1:23" ht="27" thickBot="1" x14ac:dyDescent="0.65">
      <c r="A15" s="35">
        <v>10</v>
      </c>
      <c r="B15" s="31" t="str">
        <f>INDEX('جدول داده ها'!B13:B41,MATCH(A15,'جدول داده ها'!A13:A41,0),1)</f>
        <v>شهره</v>
      </c>
      <c r="C15" s="31" t="str">
        <f>INDEX('جدول داده ها'!C13:C41,MATCH(A15,'جدول داده ها'!A13:A41,0),1)</f>
        <v>آغ داش لو</v>
      </c>
      <c r="D15" s="32">
        <f>VLOOKUP(A15,'جدول داده ها'!$A$4:$Q$32,4,FALSE)</f>
        <v>31</v>
      </c>
      <c r="E15" s="36">
        <f>VLOOKUP(A15,'جدول داده ها'!$A$4:$Q$32,5,FALSE)</f>
        <v>3</v>
      </c>
      <c r="F15" s="51">
        <f>VLOOKUP(A15,'جدول داده ها'!$A$4:$Q$32,7,FALSE)</f>
        <v>18966079</v>
      </c>
      <c r="G15" s="51">
        <f>E15*1.4*(VLOOKUP(A15,'جدول داده ها'!$A$4:$Q$32,7,FALSE)/D15)/7.33</f>
        <v>350559.04502046376</v>
      </c>
      <c r="H15" s="37">
        <f>'جدول داده ها'!H13</f>
        <v>1000000</v>
      </c>
      <c r="I15" s="51">
        <f>VLOOKUP(A15,'جدول داده ها'!$A$4:$Q$32,10,FALSE)</f>
        <v>1835420</v>
      </c>
      <c r="J15" s="51">
        <f>VLOOKUP(A15,'جدول داده ها'!$A$4:$Q$32,11,FALSE)</f>
        <v>4000000</v>
      </c>
      <c r="K15" s="51">
        <f>VLOOKUP(A15,'جدول داده ها'!$A$4:$Q$32,12,FALSE)</f>
        <v>0</v>
      </c>
      <c r="L15" s="51">
        <f>VLOOKUP(A15,'جدول داده ها'!$A$4:$Q$32,15,FALSE)</f>
        <v>0</v>
      </c>
      <c r="M15" s="51">
        <f>VLOOKUP(A15,'جدول داده ها'!$A$4:$Q$32,16,FALSE)</f>
        <v>0</v>
      </c>
      <c r="N15" s="37">
        <f t="shared" si="0"/>
        <v>26152058.045020465</v>
      </c>
      <c r="O15" s="37">
        <f t="shared" si="6"/>
        <v>20316638.045020465</v>
      </c>
      <c r="P15" s="37">
        <f t="shared" si="1"/>
        <v>26152058.045020465</v>
      </c>
      <c r="Q15" s="34">
        <f>IF(AND(N15&gt;'اقلام حقوق و دستمزد'!$B$8,N15&lt;='اقلام حقوق و دستمزد'!$B$9),(N15-('اقلام حقوق و دستمزد'!$B$8))*0.1,IF(AND(N15&gt;'اقلام حقوق و دستمزد'!$B$9,N15&lt;='اقلام حقوق و دستمزد'!$B$10),(N15-('اقلام حقوق و دستمزد'!$B$9))*0.15+(4500000),IF(AND(N15&gt;'اقلام حقوق و دستمزد'!$B$10,N15&lt;='اقلام حقوق و دستمزد'!$B$10),(N15-('اقلام حقوق و دستمزد'!$B$10))*0.2+(4500000),IF(AND(N15&gt;'اقلام حقوق و دستمزد'!$B$10,N15&lt;='اقلام حقوق و دستمزد'!$B$11),(N15-('اقلام حقوق و دستمزد'!$B$10))*0.25+(90000000),0))))</f>
        <v>0</v>
      </c>
      <c r="R15" s="37">
        <f>VLOOKUP(A15,'جدول داده ها'!$A$4:$Q$22,15,FALSE)</f>
        <v>0</v>
      </c>
      <c r="S15" s="33">
        <f t="shared" si="2"/>
        <v>6094991.4135061391</v>
      </c>
      <c r="T15" s="33">
        <f t="shared" si="3"/>
        <v>1422164.6631514328</v>
      </c>
      <c r="U15" s="37">
        <f t="shared" si="4"/>
        <v>1422164.6631514328</v>
      </c>
      <c r="V15" s="68">
        <f t="shared" si="5"/>
        <v>24729893.381869033</v>
      </c>
      <c r="W15" s="69"/>
    </row>
    <row r="16" spans="1:23" ht="27" thickBot="1" x14ac:dyDescent="0.65">
      <c r="A16" s="30">
        <v>11</v>
      </c>
      <c r="B16" s="31" t="str">
        <f>INDEX('جدول داده ها'!B14:B42,MATCH(A16,'جدول داده ها'!A14:A42,0),1)</f>
        <v xml:space="preserve">حسین </v>
      </c>
      <c r="C16" s="31" t="str">
        <f>INDEX('جدول داده ها'!C14:C42,MATCH(A16,'جدول داده ها'!A14:A42,0),1)</f>
        <v>فریدون</v>
      </c>
      <c r="D16" s="32">
        <f>VLOOKUP(A16,'جدول داده ها'!$A$4:$Q$32,4,FALSE)</f>
        <v>31</v>
      </c>
      <c r="E16" s="36">
        <f>VLOOKUP(A16,'جدول داده ها'!$A$4:$Q$32,5,FALSE)</f>
        <v>22</v>
      </c>
      <c r="F16" s="51">
        <f>VLOOKUP(A16,'جدول داده ها'!$A$4:$Q$32,7,FALSE)</f>
        <v>18966079</v>
      </c>
      <c r="G16" s="51">
        <f>E16*1.4*(VLOOKUP(A16,'جدول داده ها'!$A$4:$Q$32,7,FALSE)/D16)/7.33</f>
        <v>2570766.3301500683</v>
      </c>
      <c r="H16" s="37">
        <f>'جدول داده ها'!H14</f>
        <v>1000000</v>
      </c>
      <c r="I16" s="51">
        <f>VLOOKUP(A16,'جدول داده ها'!$A$4:$Q$32,10,FALSE)</f>
        <v>3670840</v>
      </c>
      <c r="J16" s="51">
        <f>VLOOKUP(A16,'جدول داده ها'!$A$4:$Q$32,11,FALSE)</f>
        <v>4000000</v>
      </c>
      <c r="K16" s="51">
        <f>VLOOKUP(A16,'جدول داده ها'!$A$4:$Q$32,12,FALSE)</f>
        <v>0</v>
      </c>
      <c r="L16" s="51">
        <f>VLOOKUP(A16,'جدول داده ها'!$A$4:$Q$32,15,FALSE)</f>
        <v>0</v>
      </c>
      <c r="M16" s="51">
        <f>VLOOKUP(A16,'جدول داده ها'!$A$4:$Q$32,16,FALSE)</f>
        <v>0</v>
      </c>
      <c r="N16" s="37">
        <f t="shared" ref="N16:N24" si="7">SUM(F16:K16,M16)</f>
        <v>30207685.330150068</v>
      </c>
      <c r="O16" s="37">
        <f t="shared" si="6"/>
        <v>22536845.330150068</v>
      </c>
      <c r="P16" s="37">
        <f t="shared" si="1"/>
        <v>30207685.330150068</v>
      </c>
      <c r="Q16" s="34">
        <f>IF(AND(N16&gt;'اقلام حقوق و دستمزد'!$B$8,N16&lt;='اقلام حقوق و دستمزد'!$B$9),(N16-('اقلام حقوق و دستمزد'!$B$8))*0.1,IF(AND(N16&gt;'اقلام حقوق و دستمزد'!$B$9,N16&lt;='اقلام حقوق و دستمزد'!$B$10),(N16-('اقلام حقوق و دستمزد'!$B$9))*0.15+(4500000),IF(AND(N16&gt;'اقلام حقوق و دستمزد'!$B$10,N16&lt;='اقلام حقوق و دستمزد'!$B$10),(N16-('اقلام حقوق و دستمزد'!$B$10))*0.2+(4500000),IF(AND(N16&gt;'اقلام حقوق و دستمزد'!$B$10,N16&lt;='اقلام حقوق و دستمزد'!$B$11),(N16-('اقلام حقوق و دستمزد'!$B$10))*0.25+(90000000),0))))</f>
        <v>20768.533015006782</v>
      </c>
      <c r="R16" s="37">
        <f>VLOOKUP(A16,'جدول داده ها'!$A$4:$Q$22,15,FALSE)</f>
        <v>0</v>
      </c>
      <c r="S16" s="33">
        <f t="shared" si="2"/>
        <v>6761053.5990450205</v>
      </c>
      <c r="T16" s="33">
        <f t="shared" si="3"/>
        <v>1577579.1731105049</v>
      </c>
      <c r="U16" s="37">
        <f t="shared" si="4"/>
        <v>1598347.7061255116</v>
      </c>
      <c r="V16" s="68">
        <f t="shared" si="5"/>
        <v>28609337.624024555</v>
      </c>
      <c r="W16" s="69"/>
    </row>
    <row r="17" spans="1:23" ht="27" thickBot="1" x14ac:dyDescent="0.65">
      <c r="A17" s="35">
        <v>12</v>
      </c>
      <c r="B17" s="31" t="str">
        <f>INDEX('جدول داده ها'!B15:B43,MATCH(A17,'جدول داده ها'!A15:A43,0),1)</f>
        <v>سورنا</v>
      </c>
      <c r="C17" s="31" t="str">
        <f>INDEX('جدول داده ها'!C15:C43,MATCH(A17,'جدول داده ها'!A15:A43,0),1)</f>
        <v>ستاری</v>
      </c>
      <c r="D17" s="32">
        <f>VLOOKUP(A17,'جدول داده ها'!$A$4:$Q$32,4,FALSE)</f>
        <v>31</v>
      </c>
      <c r="E17" s="36">
        <f>VLOOKUP(A17,'جدول داده ها'!$A$4:$Q$32,5,FALSE)</f>
        <v>21</v>
      </c>
      <c r="F17" s="51">
        <f>VLOOKUP(A17,'جدول داده ها'!$A$4:$Q$32,7,FALSE)</f>
        <v>18966079</v>
      </c>
      <c r="G17" s="51">
        <f>E17*1.4*(VLOOKUP(A17,'جدول داده ها'!$A$4:$Q$32,7,FALSE)/D17)/7.33</f>
        <v>2453913.3151432467</v>
      </c>
      <c r="H17" s="37">
        <f>'جدول داده ها'!H15</f>
        <v>1000000</v>
      </c>
      <c r="I17" s="51">
        <f>VLOOKUP(A17,'جدول داده ها'!$A$4:$Q$32,10,FALSE)</f>
        <v>0</v>
      </c>
      <c r="J17" s="51">
        <f>VLOOKUP(A17,'جدول داده ها'!$A$4:$Q$32,11,FALSE)</f>
        <v>4000000</v>
      </c>
      <c r="K17" s="51">
        <f>VLOOKUP(A17,'جدول داده ها'!$A$4:$Q$32,12,FALSE)</f>
        <v>0</v>
      </c>
      <c r="L17" s="51">
        <f>VLOOKUP(A17,'جدول داده ها'!$A$4:$Q$32,15,FALSE)</f>
        <v>0</v>
      </c>
      <c r="M17" s="51">
        <f>VLOOKUP(A17,'جدول داده ها'!$A$4:$Q$32,16,FALSE)</f>
        <v>0</v>
      </c>
      <c r="N17" s="37">
        <f t="shared" si="7"/>
        <v>26419992.315143246</v>
      </c>
      <c r="O17" s="37">
        <f t="shared" si="6"/>
        <v>22419992.315143246</v>
      </c>
      <c r="P17" s="37">
        <f t="shared" si="1"/>
        <v>26419992.315143246</v>
      </c>
      <c r="Q17" s="34">
        <f>IF(AND(N17&gt;'اقلام حقوق و دستمزد'!$B$8,N17&lt;='اقلام حقوق و دستمزد'!$B$9),(N17-('اقلام حقوق و دستمزد'!$B$8))*0.1,IF(AND(N17&gt;'اقلام حقوق و دستمزد'!$B$9,N17&lt;='اقلام حقوق و دستمزد'!$B$10),(N17-('اقلام حقوق و دستمزد'!$B$9))*0.15+(4500000),IF(AND(N17&gt;'اقلام حقوق و دستمزد'!$B$10,N17&lt;='اقلام حقوق و دستمزد'!$B$10),(N17-('اقلام حقوق و دستمزد'!$B$10))*0.2+(4500000),IF(AND(N17&gt;'اقلام حقوق و دستمزد'!$B$10,N17&lt;='اقلام حقوق و دستمزد'!$B$11),(N17-('اقلام حقوق و دستمزد'!$B$10))*0.25+(90000000),0))))</f>
        <v>0</v>
      </c>
      <c r="R17" s="37">
        <f>VLOOKUP(A17,'جدول داده ها'!$A$4:$Q$22,15,FALSE)</f>
        <v>0</v>
      </c>
      <c r="S17" s="33">
        <f t="shared" si="2"/>
        <v>6725997.6945429733</v>
      </c>
      <c r="T17" s="33">
        <f t="shared" si="3"/>
        <v>1569399.4620600273</v>
      </c>
      <c r="U17" s="37">
        <f t="shared" si="4"/>
        <v>1569399.4620600273</v>
      </c>
      <c r="V17" s="68">
        <f t="shared" si="5"/>
        <v>24850592.853083219</v>
      </c>
      <c r="W17" s="69"/>
    </row>
    <row r="18" spans="1:23" ht="27" thickBot="1" x14ac:dyDescent="0.65">
      <c r="A18" s="30">
        <v>13</v>
      </c>
      <c r="B18" s="31" t="str">
        <f>INDEX('جدول داده ها'!B16:B44,MATCH(A18,'جدول داده ها'!A16:A44,0),1)</f>
        <v xml:space="preserve">حسن </v>
      </c>
      <c r="C18" s="31" t="str">
        <f>INDEX('جدول داده ها'!C16:C44,MATCH(A18,'جدول داده ها'!A16:A44,0),1)</f>
        <v>روحانی</v>
      </c>
      <c r="D18" s="32">
        <f>VLOOKUP(A18,'جدول داده ها'!$A$4:$Q$32,4,FALSE)</f>
        <v>31</v>
      </c>
      <c r="E18" s="36">
        <f>VLOOKUP(A18,'جدول داده ها'!$A$4:$Q$32,5,FALSE)</f>
        <v>10</v>
      </c>
      <c r="F18" s="51">
        <f>VLOOKUP(A18,'جدول داده ها'!$A$4:$Q$32,7,FALSE)</f>
        <v>18966079</v>
      </c>
      <c r="G18" s="51">
        <f>E18*1.4*(VLOOKUP(A18,'جدول داده ها'!$A$4:$Q$32,7,FALSE)/D18)/7.33</f>
        <v>1168530.1500682128</v>
      </c>
      <c r="H18" s="37">
        <f>'جدول داده ها'!H16</f>
        <v>1000000</v>
      </c>
      <c r="I18" s="51">
        <f>VLOOKUP(A18,'جدول داده ها'!$A$4:$Q$32,10,FALSE)</f>
        <v>3670840</v>
      </c>
      <c r="J18" s="51">
        <f>VLOOKUP(A18,'جدول داده ها'!$A$4:$Q$32,11,FALSE)</f>
        <v>4000000</v>
      </c>
      <c r="K18" s="51">
        <f>VLOOKUP(A18,'جدول داده ها'!$A$4:$Q$32,12,FALSE)</f>
        <v>0</v>
      </c>
      <c r="L18" s="51">
        <f>VLOOKUP(A18,'جدول داده ها'!$A$4:$Q$32,15,FALSE)</f>
        <v>0</v>
      </c>
      <c r="M18" s="51">
        <f>VLOOKUP(A18,'جدول داده ها'!$A$4:$Q$32,16,FALSE)</f>
        <v>0</v>
      </c>
      <c r="N18" s="37">
        <f t="shared" si="7"/>
        <v>28805449.150068212</v>
      </c>
      <c r="O18" s="37">
        <f t="shared" si="6"/>
        <v>21134609.150068212</v>
      </c>
      <c r="P18" s="37">
        <f t="shared" si="1"/>
        <v>28805449.150068212</v>
      </c>
      <c r="Q18" s="34">
        <f>IF(AND(N18&gt;'اقلام حقوق و دستمزد'!$B$8,N18&lt;='اقلام حقوق و دستمزد'!$B$9),(N18-('اقلام حقوق و دستمزد'!$B$8))*0.1,IF(AND(N18&gt;'اقلام حقوق و دستمزد'!$B$9,N18&lt;='اقلام حقوق و دستمزد'!$B$10),(N18-('اقلام حقوق و دستمزد'!$B$9))*0.15+(4500000),IF(AND(N18&gt;'اقلام حقوق و دستمزد'!$B$10,N18&lt;='اقلام حقوق و دستمزد'!$B$10),(N18-('اقلام حقوق و دستمزد'!$B$10))*0.2+(4500000),IF(AND(N18&gt;'اقلام حقوق و دستمزد'!$B$10,N18&lt;='اقلام حقوق و دستمزد'!$B$11),(N18-('اقلام حقوق و دستمزد'!$B$10))*0.25+(90000000),0))))</f>
        <v>0</v>
      </c>
      <c r="R18" s="37">
        <f>VLOOKUP(A18,'جدول داده ها'!$A$4:$Q$22,15,FALSE)</f>
        <v>0</v>
      </c>
      <c r="S18" s="33">
        <f t="shared" si="2"/>
        <v>6340382.7450204631</v>
      </c>
      <c r="T18" s="33">
        <f t="shared" si="3"/>
        <v>1479422.6405047751</v>
      </c>
      <c r="U18" s="37">
        <f t="shared" si="4"/>
        <v>1479422.6405047751</v>
      </c>
      <c r="V18" s="68">
        <f t="shared" si="5"/>
        <v>27326026.509563439</v>
      </c>
      <c r="W18" s="69"/>
    </row>
    <row r="19" spans="1:23" ht="27" thickBot="1" x14ac:dyDescent="0.65">
      <c r="A19" s="35">
        <v>14</v>
      </c>
      <c r="B19" s="31" t="str">
        <f>INDEX('جدول داده ها'!B17:B45,MATCH(A19,'جدول داده ها'!A17:A45,0),1)</f>
        <v>سمیه</v>
      </c>
      <c r="C19" s="31" t="str">
        <f>INDEX('جدول داده ها'!C17:C45,MATCH(A19,'جدول داده ها'!A17:A45,0),1)</f>
        <v>نرو</v>
      </c>
      <c r="D19" s="32">
        <f>VLOOKUP(A19,'جدول داده ها'!$A$4:$Q$32,4,FALSE)</f>
        <v>31</v>
      </c>
      <c r="E19" s="36">
        <f>VLOOKUP(A19,'جدول داده ها'!$A$4:$Q$32,5,FALSE)</f>
        <v>15</v>
      </c>
      <c r="F19" s="51">
        <f>VLOOKUP(A19,'جدول داده ها'!$A$4:$Q$32,7,FALSE)</f>
        <v>18966079</v>
      </c>
      <c r="G19" s="51">
        <f>E19*1.4*(VLOOKUP(A19,'جدول داده ها'!$A$4:$Q$32,7,FALSE)/D19)/7.33</f>
        <v>1752795.2251023191</v>
      </c>
      <c r="H19" s="37">
        <f>'جدول داده ها'!H17</f>
        <v>1000000</v>
      </c>
      <c r="I19" s="51">
        <f>VLOOKUP(A19,'جدول داده ها'!$A$4:$Q$32,10,FALSE)</f>
        <v>1835420</v>
      </c>
      <c r="J19" s="51">
        <f>VLOOKUP(A19,'جدول داده ها'!$A$4:$Q$32,11,FALSE)</f>
        <v>4000000</v>
      </c>
      <c r="K19" s="51">
        <f>VLOOKUP(A19,'جدول داده ها'!$A$4:$Q$32,12,FALSE)</f>
        <v>100000</v>
      </c>
      <c r="L19" s="51">
        <f>VLOOKUP(A19,'جدول داده ها'!$A$4:$Q$32,15,FALSE)</f>
        <v>0</v>
      </c>
      <c r="M19" s="51">
        <f>VLOOKUP(A19,'جدول داده ها'!$A$4:$Q$32,16,FALSE)</f>
        <v>0</v>
      </c>
      <c r="N19" s="37">
        <f t="shared" si="7"/>
        <v>27654294.22510232</v>
      </c>
      <c r="O19" s="37">
        <f t="shared" si="6"/>
        <v>21818874.22510232</v>
      </c>
      <c r="P19" s="37">
        <f t="shared" si="1"/>
        <v>27654294.22510232</v>
      </c>
      <c r="Q19" s="34">
        <f>IF(AND(N19&gt;'اقلام حقوق و دستمزد'!$B$8,N19&lt;='اقلام حقوق و دستمزد'!$B$9),(N19-('اقلام حقوق و دستمزد'!$B$8))*0.1,IF(AND(N19&gt;'اقلام حقوق و دستمزد'!$B$9,N19&lt;='اقلام حقوق و دستمزد'!$B$10),(N19-('اقلام حقوق و دستمزد'!$B$9))*0.15+(4500000),IF(AND(N19&gt;'اقلام حقوق و دستمزد'!$B$10,N19&lt;='اقلام حقوق و دستمزد'!$B$10),(N19-('اقلام حقوق و دستمزد'!$B$10))*0.2+(4500000),IF(AND(N19&gt;'اقلام حقوق و دستمزد'!$B$10,N19&lt;='اقلام حقوق و دستمزد'!$B$11),(N19-('اقلام حقوق و دستمزد'!$B$10))*0.25+(90000000),0))))</f>
        <v>0</v>
      </c>
      <c r="R19" s="37">
        <f>VLOOKUP(A19,'جدول داده ها'!$A$4:$Q$22,15,FALSE)</f>
        <v>0</v>
      </c>
      <c r="S19" s="33">
        <f t="shared" si="2"/>
        <v>6545662.2675306955</v>
      </c>
      <c r="T19" s="33">
        <f t="shared" si="3"/>
        <v>1527321.1957571625</v>
      </c>
      <c r="U19" s="37">
        <f t="shared" si="4"/>
        <v>1527321.1957571625</v>
      </c>
      <c r="V19" s="68">
        <f t="shared" si="5"/>
        <v>26126973.029345158</v>
      </c>
      <c r="W19" s="69"/>
    </row>
    <row r="20" spans="1:23" ht="27" thickBot="1" x14ac:dyDescent="0.65">
      <c r="A20" s="30">
        <v>15</v>
      </c>
      <c r="B20" s="31" t="str">
        <f>INDEX('جدول داده ها'!B18:B46,MATCH(A20,'جدول داده ها'!A18:A46,0),1)</f>
        <v>حسام الدین</v>
      </c>
      <c r="C20" s="31" t="str">
        <f>INDEX('جدول داده ها'!C18:C46,MATCH(A20,'جدول داده ها'!A18:A46,0),1)</f>
        <v>آشنا</v>
      </c>
      <c r="D20" s="32">
        <f>VLOOKUP(A20,'جدول داده ها'!$A$4:$Q$32,4,FALSE)</f>
        <v>31</v>
      </c>
      <c r="E20" s="36">
        <f>VLOOKUP(A20,'جدول داده ها'!$A$4:$Q$32,5,FALSE)</f>
        <v>16</v>
      </c>
      <c r="F20" s="51">
        <f>VLOOKUP(A20,'جدول داده ها'!$A$4:$Q$32,7,FALSE)</f>
        <v>18966079</v>
      </c>
      <c r="G20" s="51">
        <f>E20*1.4*(VLOOKUP(A20,'جدول داده ها'!$A$4:$Q$32,7,FALSE)/D20)/7.33</f>
        <v>1869648.2401091405</v>
      </c>
      <c r="H20" s="37">
        <f>'جدول داده ها'!H18</f>
        <v>1000000</v>
      </c>
      <c r="I20" s="51">
        <f>VLOOKUP(A20,'جدول داده ها'!$A$4:$Q$32,10,FALSE)</f>
        <v>5506260</v>
      </c>
      <c r="J20" s="51">
        <f>VLOOKUP(A20,'جدول داده ها'!$A$4:$Q$32,11,FALSE)</f>
        <v>4000000</v>
      </c>
      <c r="K20" s="51">
        <f>VLOOKUP(A20,'جدول داده ها'!$A$4:$Q$32,12,FALSE)</f>
        <v>200000</v>
      </c>
      <c r="L20" s="51">
        <f>VLOOKUP(A20,'جدول داده ها'!$A$4:$Q$32,15,FALSE)</f>
        <v>2100000</v>
      </c>
      <c r="M20" s="51">
        <f>VLOOKUP(A20,'جدول داده ها'!$A$4:$Q$32,16,FALSE)</f>
        <v>0</v>
      </c>
      <c r="N20" s="37">
        <f t="shared" si="7"/>
        <v>31541987.240109142</v>
      </c>
      <c r="O20" s="37">
        <f t="shared" si="6"/>
        <v>22035727.240109142</v>
      </c>
      <c r="P20" s="37">
        <f t="shared" si="1"/>
        <v>33641987.240109146</v>
      </c>
      <c r="Q20" s="34">
        <f>IF(AND(N20&gt;'اقلام حقوق و دستمزد'!$B$8,N20&lt;='اقلام حقوق و دستمزد'!$B$9),(N20-('اقلام حقوق و دستمزد'!$B$8))*0.1,IF(AND(N20&gt;'اقلام حقوق و دستمزد'!$B$9,N20&lt;='اقلام حقوق و دستمزد'!$B$10),(N20-('اقلام حقوق و دستمزد'!$B$9))*0.15+(4500000),IF(AND(N20&gt;'اقلام حقوق و دستمزد'!$B$10,N20&lt;='اقلام حقوق و دستمزد'!$B$10),(N20-('اقلام حقوق و دستمزد'!$B$10))*0.2+(4500000),IF(AND(N20&gt;'اقلام حقوق و دستمزد'!$B$10,N20&lt;='اقلام حقوق و دستمزد'!$B$11),(N20-('اقلام حقوق و دستمزد'!$B$10))*0.25+(90000000),0))))</f>
        <v>154198.72401091419</v>
      </c>
      <c r="R20" s="37">
        <f>VLOOKUP(A20,'جدول داده ها'!$A$4:$Q$22,15,FALSE)</f>
        <v>2100000</v>
      </c>
      <c r="S20" s="33">
        <f t="shared" si="2"/>
        <v>6610718.1720327428</v>
      </c>
      <c r="T20" s="33">
        <f t="shared" si="3"/>
        <v>1542500.9068076401</v>
      </c>
      <c r="U20" s="37">
        <f t="shared" si="4"/>
        <v>3796699.6308185542</v>
      </c>
      <c r="V20" s="68">
        <f t="shared" si="5"/>
        <v>29845287.609290592</v>
      </c>
      <c r="W20" s="69"/>
    </row>
    <row r="21" spans="1:23" ht="27" thickBot="1" x14ac:dyDescent="0.65">
      <c r="A21" s="35">
        <v>16</v>
      </c>
      <c r="B21" s="31" t="str">
        <f>INDEX('جدول داده ها'!B19:B47,MATCH(A21,'جدول داده ها'!A19:A47,0),1)</f>
        <v>محمود</v>
      </c>
      <c r="C21" s="31" t="str">
        <f>INDEX('جدول داده ها'!C19:C47,MATCH(A21,'جدول داده ها'!A19:A47,0),1)</f>
        <v>صادقی</v>
      </c>
      <c r="D21" s="32">
        <f>VLOOKUP(A21,'جدول داده ها'!$A$4:$Q$32,4,FALSE)</f>
        <v>31</v>
      </c>
      <c r="E21" s="36">
        <f>VLOOKUP(A21,'جدول داده ها'!$A$4:$Q$32,5,FALSE)</f>
        <v>20</v>
      </c>
      <c r="F21" s="51">
        <f>VLOOKUP(A21,'جدول داده ها'!$A$4:$Q$32,7,FALSE)</f>
        <v>18966079</v>
      </c>
      <c r="G21" s="51">
        <f>E21*1.4*(VLOOKUP(A21,'جدول داده ها'!$A$4:$Q$32,7,FALSE)/D21)/7.33</f>
        <v>2337060.3001364255</v>
      </c>
      <c r="H21" s="37">
        <f>'جدول داده ها'!H19</f>
        <v>1000000</v>
      </c>
      <c r="I21" s="51">
        <f>VLOOKUP(A21,'جدول داده ها'!$A$4:$Q$32,10,FALSE)</f>
        <v>3670840</v>
      </c>
      <c r="J21" s="51">
        <f>VLOOKUP(A21,'جدول داده ها'!$A$4:$Q$32,11,FALSE)</f>
        <v>4000000</v>
      </c>
      <c r="K21" s="51">
        <f>VLOOKUP(A21,'جدول داده ها'!$A$4:$Q$32,12,FALSE)</f>
        <v>150000</v>
      </c>
      <c r="L21" s="51">
        <f>VLOOKUP(A21,'جدول داده ها'!$A$4:$Q$32,15,FALSE)</f>
        <v>1000000</v>
      </c>
      <c r="M21" s="51">
        <f>VLOOKUP(A21,'جدول داده ها'!$A$4:$Q$32,16,FALSE)</f>
        <v>0</v>
      </c>
      <c r="N21" s="37">
        <f t="shared" si="7"/>
        <v>30123979.300136425</v>
      </c>
      <c r="O21" s="37">
        <f t="shared" si="6"/>
        <v>22453139.300136425</v>
      </c>
      <c r="P21" s="37">
        <f t="shared" si="1"/>
        <v>31123979.300136425</v>
      </c>
      <c r="Q21" s="34">
        <f>IF(AND(N21&gt;'اقلام حقوق و دستمزد'!$B$8,N21&lt;='اقلام حقوق و دستمزد'!$B$9),(N21-('اقلام حقوق و دستمزد'!$B$8))*0.1,IF(AND(N21&gt;'اقلام حقوق و دستمزد'!$B$9,N21&lt;='اقلام حقوق و دستمزد'!$B$10),(N21-('اقلام حقوق و دستمزد'!$B$9))*0.15+(4500000),IF(AND(N21&gt;'اقلام حقوق و دستمزد'!$B$10,N21&lt;='اقلام حقوق و دستمزد'!$B$10),(N21-('اقلام حقوق و دستمزد'!$B$10))*0.2+(4500000),IF(AND(N21&gt;'اقلام حقوق و دستمزد'!$B$10,N21&lt;='اقلام حقوق و دستمزد'!$B$11),(N21-('اقلام حقوق و دستمزد'!$B$10))*0.25+(90000000),0))))</f>
        <v>12397.930013642461</v>
      </c>
      <c r="R21" s="37">
        <f>VLOOKUP(A21,'جدول داده ها'!$A$4:$Q$22,15,FALSE)</f>
        <v>1000000</v>
      </c>
      <c r="S21" s="33">
        <f t="shared" si="2"/>
        <v>6735941.790040927</v>
      </c>
      <c r="T21" s="33">
        <f t="shared" si="3"/>
        <v>1571719.7510095499</v>
      </c>
      <c r="U21" s="37">
        <f t="shared" si="4"/>
        <v>2584117.6810231926</v>
      </c>
      <c r="V21" s="68">
        <f t="shared" si="5"/>
        <v>28539861.619113233</v>
      </c>
      <c r="W21" s="69"/>
    </row>
    <row r="22" spans="1:23" ht="27" thickBot="1" x14ac:dyDescent="0.65">
      <c r="A22" s="30">
        <v>17</v>
      </c>
      <c r="B22" s="31" t="str">
        <f>INDEX('جدول داده ها'!B20:B48,MATCH(A22,'جدول داده ها'!A20:A48,0),1)</f>
        <v>ابراهیم</v>
      </c>
      <c r="C22" s="31" t="str">
        <f>INDEX('جدول داده ها'!C20:C48,MATCH(A22,'جدول داده ها'!A20:A48,0),1)</f>
        <v>رییسی</v>
      </c>
      <c r="D22" s="32">
        <f>VLOOKUP(A22,'جدول داده ها'!$A$4:$Q$32,4,FALSE)</f>
        <v>31</v>
      </c>
      <c r="E22" s="36">
        <f>VLOOKUP(A22,'جدول داده ها'!$A$4:$Q$32,5,FALSE)</f>
        <v>20</v>
      </c>
      <c r="F22" s="51">
        <f>VLOOKUP(A22,'جدول داده ها'!$A$4:$Q$32,7,FALSE)</f>
        <v>18966079</v>
      </c>
      <c r="G22" s="51">
        <f>E22*1.4*(VLOOKUP(A22,'جدول داده ها'!$A$4:$Q$32,7,FALSE)/D22)/7.33</f>
        <v>2337060.3001364255</v>
      </c>
      <c r="H22" s="37">
        <f>'جدول داده ها'!H20</f>
        <v>1000000</v>
      </c>
      <c r="I22" s="51">
        <f>VLOOKUP(A22,'جدول داده ها'!$A$4:$Q$32,10,FALSE)</f>
        <v>3670840</v>
      </c>
      <c r="J22" s="51">
        <f>VLOOKUP(A22,'جدول داده ها'!$A$4:$Q$32,11,FALSE)</f>
        <v>4000000</v>
      </c>
      <c r="K22" s="51">
        <f>VLOOKUP(A22,'جدول داده ها'!$A$4:$Q$32,12,FALSE)</f>
        <v>0</v>
      </c>
      <c r="L22" s="51">
        <f>VLOOKUP(A22,'جدول داده ها'!$A$4:$Q$32,15,FALSE)</f>
        <v>1200000</v>
      </c>
      <c r="M22" s="51">
        <f>VLOOKUP(A22,'جدول داده ها'!$A$4:$Q$32,16,FALSE)</f>
        <v>0</v>
      </c>
      <c r="N22" s="37">
        <f t="shared" si="7"/>
        <v>29973979.300136425</v>
      </c>
      <c r="O22" s="37">
        <f t="shared" si="6"/>
        <v>22303139.300136425</v>
      </c>
      <c r="P22" s="37">
        <f t="shared" si="1"/>
        <v>31173979.300136425</v>
      </c>
      <c r="Q22" s="34">
        <f>IF(AND(N22&gt;'اقلام حقوق و دستمزد'!$B$8,N22&lt;='اقلام حقوق و دستمزد'!$B$9),(N22-('اقلام حقوق و دستمزد'!$B$8))*0.1,IF(AND(N22&gt;'اقلام حقوق و دستمزد'!$B$9,N22&lt;='اقلام حقوق و دستمزد'!$B$10),(N22-('اقلام حقوق و دستمزد'!$B$9))*0.15+(4500000),IF(AND(N22&gt;'اقلام حقوق و دستمزد'!$B$10,N22&lt;='اقلام حقوق و دستمزد'!$B$10),(N22-('اقلام حقوق و دستمزد'!$B$10))*0.2+(4500000),IF(AND(N22&gt;'اقلام حقوق و دستمزد'!$B$10,N22&lt;='اقلام حقوق و دستمزد'!$B$11),(N22-('اقلام حقوق و دستمزد'!$B$10))*0.25+(90000000),0))))</f>
        <v>0</v>
      </c>
      <c r="R22" s="37">
        <f>VLOOKUP(A22,'جدول داده ها'!$A$4:$Q$22,15,FALSE)</f>
        <v>1200000</v>
      </c>
      <c r="S22" s="33">
        <f t="shared" si="2"/>
        <v>6690941.790040927</v>
      </c>
      <c r="T22" s="33">
        <f t="shared" si="3"/>
        <v>1561219.7510095499</v>
      </c>
      <c r="U22" s="37">
        <f t="shared" si="4"/>
        <v>2761219.7510095499</v>
      </c>
      <c r="V22" s="68">
        <f t="shared" si="5"/>
        <v>28412759.549126875</v>
      </c>
      <c r="W22" s="69"/>
    </row>
    <row r="23" spans="1:23" ht="27" thickBot="1" x14ac:dyDescent="0.65">
      <c r="A23" s="35">
        <v>18</v>
      </c>
      <c r="B23" s="31" t="str">
        <f>INDEX('جدول داده ها'!B21:B49,MATCH(A23,'جدول داده ها'!A21:A49,0),1)</f>
        <v>نیک آهنگ</v>
      </c>
      <c r="C23" s="31" t="str">
        <f>INDEX('جدول داده ها'!C21:C49,MATCH(A23,'جدول داده ها'!A21:A49,0),1)</f>
        <v>کوثر</v>
      </c>
      <c r="D23" s="32">
        <f>VLOOKUP(A23,'جدول داده ها'!$A$4:$Q$32,4,FALSE)</f>
        <v>31</v>
      </c>
      <c r="E23" s="36">
        <f>VLOOKUP(A23,'جدول داده ها'!$A$4:$Q$32,5,FALSE)</f>
        <v>21</v>
      </c>
      <c r="F23" s="51">
        <f>VLOOKUP(A23,'جدول داده ها'!$A$4:$Q$32,7,FALSE)</f>
        <v>18966079</v>
      </c>
      <c r="G23" s="51">
        <f>E23*1.4*(VLOOKUP(A23,'جدول داده ها'!$A$4:$Q$32,7,FALSE)/D23)/7.33</f>
        <v>2453913.3151432467</v>
      </c>
      <c r="H23" s="37">
        <f>'جدول داده ها'!H21</f>
        <v>1000000</v>
      </c>
      <c r="I23" s="51">
        <f>VLOOKUP(A23,'جدول داده ها'!$A$4:$Q$32,10,FALSE)</f>
        <v>1835420</v>
      </c>
      <c r="J23" s="51">
        <f>VLOOKUP(A23,'جدول داده ها'!$A$4:$Q$32,11,FALSE)</f>
        <v>4000000</v>
      </c>
      <c r="K23" s="51">
        <f>VLOOKUP(A23,'جدول داده ها'!$A$4:$Q$32,12,FALSE)</f>
        <v>0</v>
      </c>
      <c r="L23" s="51">
        <f>VLOOKUP(A23,'جدول داده ها'!$A$4:$Q$32,15,FALSE)</f>
        <v>0</v>
      </c>
      <c r="M23" s="51">
        <f>VLOOKUP(A23,'جدول داده ها'!$A$4:$Q$32,16,FALSE)</f>
        <v>0</v>
      </c>
      <c r="N23" s="37">
        <f t="shared" si="7"/>
        <v>28255412.315143246</v>
      </c>
      <c r="O23" s="37">
        <f t="shared" si="6"/>
        <v>22419992.315143246</v>
      </c>
      <c r="P23" s="37">
        <f t="shared" si="1"/>
        <v>28255412.315143246</v>
      </c>
      <c r="Q23" s="34">
        <f>IF(AND(N23&gt;'اقلام حقوق و دستمزد'!$B$8,N23&lt;='اقلام حقوق و دستمزد'!$B$9),(N23-('اقلام حقوق و دستمزد'!$B$8))*0.1,IF(AND(N23&gt;'اقلام حقوق و دستمزد'!$B$9,N23&lt;='اقلام حقوق و دستمزد'!$B$10),(N23-('اقلام حقوق و دستمزد'!$B$9))*0.15+(4500000),IF(AND(N23&gt;'اقلام حقوق و دستمزد'!$B$10,N23&lt;='اقلام حقوق و دستمزد'!$B$10),(N23-('اقلام حقوق و دستمزد'!$B$10))*0.2+(4500000),IF(AND(N23&gt;'اقلام حقوق و دستمزد'!$B$10,N23&lt;='اقلام حقوق و دستمزد'!$B$11),(N23-('اقلام حقوق و دستمزد'!$B$10))*0.25+(90000000),0))))</f>
        <v>0</v>
      </c>
      <c r="R23" s="37">
        <f>VLOOKUP(A23,'جدول داده ها'!$A$4:$Q$22,15,FALSE)</f>
        <v>0</v>
      </c>
      <c r="S23" s="33">
        <f t="shared" si="2"/>
        <v>6725997.6945429733</v>
      </c>
      <c r="T23" s="33">
        <f t="shared" si="3"/>
        <v>1569399.4620600273</v>
      </c>
      <c r="U23" s="37">
        <f t="shared" si="4"/>
        <v>1569399.4620600273</v>
      </c>
      <c r="V23" s="68">
        <f t="shared" si="5"/>
        <v>26686012.853083219</v>
      </c>
      <c r="W23" s="69"/>
    </row>
    <row r="24" spans="1:23" ht="26.25" x14ac:dyDescent="0.6">
      <c r="A24" s="30">
        <v>19</v>
      </c>
      <c r="B24" s="31" t="str">
        <f>INDEX('جدول داده ها'!B22:B50,MATCH(A24,'جدول داده ها'!A22:A50,0),1)</f>
        <v xml:space="preserve">سیاوش </v>
      </c>
      <c r="C24" s="31" t="str">
        <f>INDEX('جدول داده ها'!C22:C50,MATCH(A24,'جدول داده ها'!A22:A50,0),1)</f>
        <v>اردلان</v>
      </c>
      <c r="D24" s="32">
        <f>VLOOKUP(A24,'جدول داده ها'!$A$4:$Q$32,4,FALSE)</f>
        <v>31</v>
      </c>
      <c r="E24" s="36">
        <f>VLOOKUP(A24,'جدول داده ها'!$A$4:$Q$32,5,FALSE)</f>
        <v>22</v>
      </c>
      <c r="F24" s="51">
        <f>VLOOKUP(A24,'جدول داده ها'!$A$4:$Q$32,7,FALSE)</f>
        <v>18966079</v>
      </c>
      <c r="G24" s="51">
        <f>E24*1.4*(VLOOKUP(A24,'جدول داده ها'!$A$4:$Q$32,7,FALSE)/D24)/7.33</f>
        <v>2570766.3301500683</v>
      </c>
      <c r="H24" s="37">
        <f>'جدول داده ها'!H22</f>
        <v>1000000</v>
      </c>
      <c r="I24" s="51">
        <f>VLOOKUP(A24,'جدول داده ها'!$A$4:$Q$32,10,FALSE)</f>
        <v>0</v>
      </c>
      <c r="J24" s="51">
        <f>VLOOKUP(A24,'جدول داده ها'!$A$4:$Q$32,11,FALSE)</f>
        <v>4000000</v>
      </c>
      <c r="K24" s="51">
        <f>VLOOKUP(A24,'جدول داده ها'!$A$4:$Q$32,12,FALSE)</f>
        <v>0</v>
      </c>
      <c r="L24" s="51">
        <f>VLOOKUP(A24,'جدول داده ها'!$A$4:$Q$32,15,FALSE)</f>
        <v>0</v>
      </c>
      <c r="M24" s="51">
        <f>VLOOKUP(A24,'جدول داده ها'!$A$4:$Q$32,16,FALSE)</f>
        <v>0</v>
      </c>
      <c r="N24" s="37">
        <f t="shared" si="7"/>
        <v>26536845.330150068</v>
      </c>
      <c r="O24" s="37">
        <f>SUM(F24:H24,K24,M24)</f>
        <v>22536845.330150068</v>
      </c>
      <c r="P24" s="37">
        <f t="shared" si="1"/>
        <v>26536845.330150068</v>
      </c>
      <c r="Q24" s="34">
        <f>IF(AND(N24&gt;'اقلام حقوق و دستمزد'!$B$8,N24&lt;='اقلام حقوق و دستمزد'!$B$9),(N24-('اقلام حقوق و دستمزد'!$B$8))*0.1,IF(AND(N24&gt;'اقلام حقوق و دستمزد'!$B$9,N24&lt;='اقلام حقوق و دستمزد'!$B$10),(N24-('اقلام حقوق و دستمزد'!$B$9))*0.15+(4500000),IF(AND(N24&gt;'اقلام حقوق و دستمزد'!$B$10,N24&lt;='اقلام حقوق و دستمزد'!$B$10),(N24-('اقلام حقوق و دستمزد'!$B$10))*0.2+(4500000),IF(AND(N24&gt;'اقلام حقوق و دستمزد'!$B$10,N24&lt;='اقلام حقوق و دستمزد'!$B$11),(N24-('اقلام حقوق و دستمزد'!$B$10))*0.25+(90000000),0))))</f>
        <v>0</v>
      </c>
      <c r="R24" s="37">
        <f>VLOOKUP(A24,'جدول داده ها'!$A$4:$Q$22,15,FALSE)</f>
        <v>0</v>
      </c>
      <c r="S24" s="33">
        <f t="shared" si="2"/>
        <v>6761053.5990450205</v>
      </c>
      <c r="T24" s="33">
        <f t="shared" si="3"/>
        <v>1577579.1731105049</v>
      </c>
      <c r="U24" s="37">
        <f>SUM(Q24:R24,T24)</f>
        <v>1577579.1731105049</v>
      </c>
      <c r="V24" s="68">
        <f t="shared" si="5"/>
        <v>24959266.157039564</v>
      </c>
      <c r="W24" s="69"/>
    </row>
    <row r="25" spans="1:23" ht="27" thickBot="1" x14ac:dyDescent="0.3">
      <c r="A25" s="74" t="s">
        <v>47</v>
      </c>
      <c r="B25" s="75"/>
      <c r="C25" s="75"/>
      <c r="D25" s="75"/>
      <c r="E25" s="75"/>
      <c r="F25" s="38">
        <f t="shared" ref="F25:U25" si="8">SUM(F6:F24)</f>
        <v>356889422</v>
      </c>
      <c r="G25" s="38">
        <f t="shared" si="8"/>
        <v>33438918.062755793</v>
      </c>
      <c r="H25" s="38">
        <f t="shared" si="8"/>
        <v>19000000</v>
      </c>
      <c r="I25" s="38">
        <f t="shared" si="8"/>
        <v>40379240</v>
      </c>
      <c r="J25" s="38">
        <f t="shared" si="8"/>
        <v>76000000</v>
      </c>
      <c r="K25" s="38">
        <f t="shared" si="8"/>
        <v>2600000</v>
      </c>
      <c r="L25" s="38">
        <f t="shared" si="8"/>
        <v>5800000</v>
      </c>
      <c r="M25" s="38">
        <f t="shared" si="8"/>
        <v>0</v>
      </c>
      <c r="N25" s="38">
        <f t="shared" si="8"/>
        <v>528307580.06275582</v>
      </c>
      <c r="O25" s="38">
        <f t="shared" si="8"/>
        <v>411928340.06275582</v>
      </c>
      <c r="P25" s="38">
        <f t="shared" si="8"/>
        <v>534107580.06275582</v>
      </c>
      <c r="Q25" s="38">
        <f t="shared" si="8"/>
        <v>228081.49904502035</v>
      </c>
      <c r="R25" s="38">
        <f t="shared" si="8"/>
        <v>5800000</v>
      </c>
      <c r="S25" s="38">
        <f t="shared" si="8"/>
        <v>123578502.01882674</v>
      </c>
      <c r="T25" s="38">
        <f t="shared" si="8"/>
        <v>28834983.804392904</v>
      </c>
      <c r="U25" s="38">
        <f t="shared" si="8"/>
        <v>34863065.303437926</v>
      </c>
      <c r="V25" s="75">
        <f>SUM(V6:W24)</f>
        <v>499244514.75931782</v>
      </c>
      <c r="W25" s="76"/>
    </row>
    <row r="26" spans="1:23" x14ac:dyDescent="0.25">
      <c r="I26" s="2"/>
    </row>
  </sheetData>
  <mergeCells count="34">
    <mergeCell ref="J1:L2"/>
    <mergeCell ref="A1:A2"/>
    <mergeCell ref="A4:C4"/>
    <mergeCell ref="D4:E4"/>
    <mergeCell ref="F4:M4"/>
    <mergeCell ref="C1:C2"/>
    <mergeCell ref="D1:E2"/>
    <mergeCell ref="O4:O5"/>
    <mergeCell ref="V21:W21"/>
    <mergeCell ref="V22:W22"/>
    <mergeCell ref="A25:E25"/>
    <mergeCell ref="V25:W25"/>
    <mergeCell ref="V14:W14"/>
    <mergeCell ref="Q4:T4"/>
    <mergeCell ref="N4:N5"/>
    <mergeCell ref="U4:U5"/>
    <mergeCell ref="V4:W5"/>
    <mergeCell ref="P4:P5"/>
    <mergeCell ref="V9:W9"/>
    <mergeCell ref="V10:W10"/>
    <mergeCell ref="V11:W11"/>
    <mergeCell ref="V23:W23"/>
    <mergeCell ref="V24:W24"/>
    <mergeCell ref="V16:W16"/>
    <mergeCell ref="V17:W17"/>
    <mergeCell ref="V18:W18"/>
    <mergeCell ref="V19:W19"/>
    <mergeCell ref="V20:W20"/>
    <mergeCell ref="V15:W15"/>
    <mergeCell ref="V6:W6"/>
    <mergeCell ref="V7:W7"/>
    <mergeCell ref="V8:W8"/>
    <mergeCell ref="V12:W12"/>
    <mergeCell ref="V13:W13"/>
  </mergeCells>
  <hyperlinks>
    <hyperlink ref="C1:C2" location="'جدول داده ها'!A24" display="جدول داده ها" xr:uid="{00000000-0004-0000-0100-000000000000}"/>
    <hyperlink ref="D1:E2" location="'فیش حقوقی '!N4" display="فیش حقوقی" xr:uid="{00000000-0004-0000-0100-000001000000}"/>
  </hyperlinks>
  <pageMargins left="0.7" right="0.7" top="0.75" bottom="0.75" header="0.3" footer="0.3"/>
  <pageSetup paperSize="9" orientation="portrait" horizontalDpi="1200" verticalDpi="12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N55"/>
  <sheetViews>
    <sheetView rightToLeft="1" workbookViewId="0">
      <selection activeCell="D13" sqref="D13:F13"/>
    </sheetView>
  </sheetViews>
  <sheetFormatPr defaultColWidth="9" defaultRowHeight="19.5" x14ac:dyDescent="0.55000000000000004"/>
  <cols>
    <col min="1" max="1" width="1.85546875" style="4" bestFit="1" customWidth="1"/>
    <col min="2" max="2" width="10" style="4" customWidth="1"/>
    <col min="3" max="3" width="11.42578125" style="4" customWidth="1"/>
    <col min="4" max="4" width="4.140625" style="4" bestFit="1" customWidth="1"/>
    <col min="5" max="5" width="7" style="4" bestFit="1" customWidth="1"/>
    <col min="6" max="6" width="14" style="4" customWidth="1"/>
    <col min="7" max="7" width="9.42578125" style="4" customWidth="1"/>
    <col min="8" max="8" width="10.42578125" style="4" customWidth="1"/>
    <col min="9" max="9" width="6.5703125" style="4" customWidth="1"/>
    <col min="10" max="10" width="8.42578125" style="4" customWidth="1"/>
    <col min="11" max="11" width="9.42578125" style="4" customWidth="1"/>
    <col min="12" max="12" width="8.85546875" style="4" bestFit="1" customWidth="1"/>
    <col min="13" max="13" width="7" style="4" bestFit="1" customWidth="1"/>
    <col min="14" max="14" width="15.42578125" style="4" customWidth="1"/>
    <col min="15" max="16384" width="9" style="4"/>
  </cols>
  <sheetData>
    <row r="1" spans="1:14" ht="20.25" thickBot="1" x14ac:dyDescent="0.6"/>
    <row r="2" spans="1:14" ht="22.5" thickBot="1" x14ac:dyDescent="0.6">
      <c r="B2" s="4" t="s">
        <v>109</v>
      </c>
      <c r="C2" s="52">
        <v>9</v>
      </c>
      <c r="F2" s="4" t="s">
        <v>110</v>
      </c>
      <c r="G2" s="52">
        <v>10</v>
      </c>
      <c r="N2" s="11" t="s">
        <v>43</v>
      </c>
    </row>
    <row r="3" spans="1:14" ht="30.75" customHeight="1" thickBot="1" x14ac:dyDescent="0.6">
      <c r="A3" s="5"/>
      <c r="B3" s="53" t="str">
        <f>CHOOSE(C2,"فروردین ","اردیـبـهشت","خرداد","تـیر","مرداد","شهریور","مهر","آبان","آذر","دی ","بهمن","اسفــند")</f>
        <v>آذر</v>
      </c>
      <c r="C3" s="54">
        <v>1399</v>
      </c>
      <c r="D3" s="116" t="str">
        <f ca="1">INDIRECT("'جدول حقوق ودستمزد'!B"&amp;5+$G$2)&amp;" "&amp;INDIRECT("'جدول حقوق ودستمزد'!c"&amp;5+$G$2)</f>
        <v>شهره آغ داش لو</v>
      </c>
      <c r="E3" s="117"/>
      <c r="F3" s="118"/>
      <c r="G3" s="107" t="s">
        <v>91</v>
      </c>
      <c r="H3" s="108"/>
      <c r="I3" s="108"/>
      <c r="J3" s="108"/>
      <c r="K3" s="109"/>
      <c r="N3" s="97" t="s">
        <v>45</v>
      </c>
    </row>
    <row r="4" spans="1:14" ht="15" customHeight="1" x14ac:dyDescent="0.55000000000000004">
      <c r="A4" s="5"/>
      <c r="B4" s="112"/>
      <c r="C4" s="113"/>
      <c r="D4" s="113"/>
      <c r="E4" s="113"/>
      <c r="F4" s="113"/>
      <c r="G4" s="114"/>
      <c r="H4" s="114"/>
      <c r="I4" s="114"/>
      <c r="J4" s="114"/>
      <c r="K4" s="115"/>
      <c r="N4" s="97"/>
    </row>
    <row r="5" spans="1:14" ht="20.25" customHeight="1" x14ac:dyDescent="0.55000000000000004">
      <c r="B5" s="119" t="s">
        <v>33</v>
      </c>
      <c r="C5" s="120"/>
      <c r="D5" s="120"/>
      <c r="E5" s="120"/>
      <c r="F5" s="120"/>
      <c r="G5" s="110" t="s">
        <v>34</v>
      </c>
      <c r="H5" s="110"/>
      <c r="I5" s="110"/>
      <c r="J5" s="110"/>
      <c r="K5" s="111"/>
    </row>
    <row r="6" spans="1:14" ht="23.25" customHeight="1" x14ac:dyDescent="0.55000000000000004">
      <c r="B6" s="94" t="s">
        <v>23</v>
      </c>
      <c r="C6" s="95"/>
      <c r="D6" s="121">
        <f ca="1">INDIRECT("'جدول حقوق ودستمزد'!d"&amp;5+$G$2)</f>
        <v>31</v>
      </c>
      <c r="E6" s="121"/>
      <c r="F6" s="121"/>
      <c r="G6" s="100" t="s">
        <v>35</v>
      </c>
      <c r="H6" s="100"/>
      <c r="I6" s="98">
        <f ca="1">INDIRECT("'جدول حقوق ودستمزد'!r"&amp;5+$G$2)</f>
        <v>0</v>
      </c>
      <c r="J6" s="98"/>
      <c r="K6" s="99"/>
    </row>
    <row r="7" spans="1:14" ht="23.25" customHeight="1" x14ac:dyDescent="0.55000000000000004">
      <c r="B7" s="94" t="s">
        <v>26</v>
      </c>
      <c r="C7" s="95"/>
      <c r="D7" s="121">
        <f ca="1">INDIRECT("'جدول حقوق ودستمزد'!e"&amp;5+$G$2)</f>
        <v>3</v>
      </c>
      <c r="E7" s="121"/>
      <c r="F7" s="121"/>
      <c r="G7" s="100" t="s">
        <v>36</v>
      </c>
      <c r="H7" s="100"/>
      <c r="I7" s="98">
        <f ca="1">INDIRECT("'جدول حقوق ودستمزد'!q"&amp;5+$G$2)</f>
        <v>0</v>
      </c>
      <c r="J7" s="98"/>
      <c r="K7" s="99"/>
    </row>
    <row r="8" spans="1:14" ht="23.25" customHeight="1" x14ac:dyDescent="0.55000000000000004">
      <c r="B8" s="94" t="s">
        <v>27</v>
      </c>
      <c r="C8" s="95"/>
      <c r="D8" s="121">
        <f ca="1">INDIRECT("'جدول حقوق ودستمزد'!n"&amp;5+$G$2)</f>
        <v>26152058.045020465</v>
      </c>
      <c r="E8" s="121"/>
      <c r="F8" s="121"/>
      <c r="G8" s="100" t="s">
        <v>12</v>
      </c>
      <c r="H8" s="100"/>
      <c r="I8" s="98">
        <f ca="1">INDIRECT("'جدول حقوق ودستمزد'!t"&amp;5+$G$2)</f>
        <v>1422164.6631514328</v>
      </c>
      <c r="J8" s="98"/>
      <c r="K8" s="99"/>
    </row>
    <row r="9" spans="1:14" ht="23.25" customHeight="1" x14ac:dyDescent="0.55000000000000004">
      <c r="B9" s="94" t="s">
        <v>3</v>
      </c>
      <c r="C9" s="95"/>
      <c r="D9" s="96">
        <f ca="1">INDIRECT("'جدول حقوق ودستمزد'!f"&amp;5+$G$2)</f>
        <v>18966079</v>
      </c>
      <c r="E9" s="96"/>
      <c r="F9" s="96"/>
      <c r="G9" s="100" t="s">
        <v>37</v>
      </c>
      <c r="H9" s="100"/>
      <c r="I9" s="98">
        <v>0</v>
      </c>
      <c r="J9" s="98"/>
      <c r="K9" s="99"/>
    </row>
    <row r="10" spans="1:14" ht="23.25" customHeight="1" x14ac:dyDescent="0.55000000000000004">
      <c r="B10" s="94" t="s">
        <v>28</v>
      </c>
      <c r="C10" s="95"/>
      <c r="D10" s="96">
        <f ca="1">INDIRECT("'جدول حقوق ودستمزد'!g"&amp;5+$G$2)</f>
        <v>350559.04502046376</v>
      </c>
      <c r="E10" s="96"/>
      <c r="F10" s="96"/>
      <c r="G10" s="101" t="s">
        <v>25</v>
      </c>
      <c r="H10" s="101"/>
      <c r="I10" s="102">
        <f ca="1">SUM(I6:K9)</f>
        <v>1422164.6631514328</v>
      </c>
      <c r="J10" s="102"/>
      <c r="K10" s="103"/>
    </row>
    <row r="11" spans="1:14" ht="23.25" customHeight="1" x14ac:dyDescent="0.55000000000000004">
      <c r="B11" s="94" t="s">
        <v>4</v>
      </c>
      <c r="C11" s="95"/>
      <c r="D11" s="96">
        <f ca="1">INDIRECT("'جدول حقوق ودستمزد'!h"&amp;5+$G$2)</f>
        <v>1000000</v>
      </c>
      <c r="E11" s="96"/>
      <c r="F11" s="96"/>
      <c r="G11" s="101"/>
      <c r="H11" s="101"/>
      <c r="I11" s="102"/>
      <c r="J11" s="102"/>
      <c r="K11" s="103"/>
    </row>
    <row r="12" spans="1:14" ht="23.25" customHeight="1" x14ac:dyDescent="0.55000000000000004">
      <c r="B12" s="94" t="s">
        <v>22</v>
      </c>
      <c r="C12" s="95"/>
      <c r="D12" s="96">
        <f ca="1">INDIRECT("'جدول حقوق ودستمزد'!i"&amp;5+$G$2)</f>
        <v>1835420</v>
      </c>
      <c r="E12" s="96"/>
      <c r="F12" s="96"/>
      <c r="G12" s="101"/>
      <c r="H12" s="101"/>
      <c r="I12" s="102"/>
      <c r="J12" s="102"/>
      <c r="K12" s="103"/>
    </row>
    <row r="13" spans="1:14" ht="23.25" customHeight="1" x14ac:dyDescent="0.55000000000000004">
      <c r="B13" s="94" t="s">
        <v>29</v>
      </c>
      <c r="C13" s="95"/>
      <c r="D13" s="96">
        <f ca="1">INDIRECT("'جدول حقوق ودستمزد'!j"&amp;5+$G$2)</f>
        <v>4000000</v>
      </c>
      <c r="E13" s="96"/>
      <c r="F13" s="96"/>
      <c r="G13" s="101" t="s">
        <v>38</v>
      </c>
      <c r="H13" s="101"/>
      <c r="I13" s="105">
        <f ca="1">D17-I10</f>
        <v>24729893.381869033</v>
      </c>
      <c r="J13" s="105"/>
      <c r="K13" s="106"/>
    </row>
    <row r="14" spans="1:14" ht="23.25" customHeight="1" x14ac:dyDescent="0.55000000000000004">
      <c r="B14" s="94" t="s">
        <v>30</v>
      </c>
      <c r="C14" s="95"/>
      <c r="D14" s="96">
        <f ca="1">INDIRECT("'جدول حقوق ودستمزد'!k"&amp;5+$G$2)</f>
        <v>0</v>
      </c>
      <c r="E14" s="96"/>
      <c r="F14" s="96"/>
      <c r="G14" s="101"/>
      <c r="H14" s="101"/>
      <c r="I14" s="105"/>
      <c r="J14" s="105"/>
      <c r="K14" s="106"/>
    </row>
    <row r="15" spans="1:14" ht="23.25" customHeight="1" x14ac:dyDescent="0.55000000000000004">
      <c r="B15" s="94" t="s">
        <v>32</v>
      </c>
      <c r="C15" s="95"/>
      <c r="D15" s="96">
        <f ca="1">INDIRECT("'جدول حقوق ودستمزد'!l"&amp;5+$G$2)</f>
        <v>0</v>
      </c>
      <c r="E15" s="96"/>
      <c r="F15" s="96"/>
      <c r="G15" s="101"/>
      <c r="H15" s="101"/>
      <c r="I15" s="105"/>
      <c r="J15" s="105"/>
      <c r="K15" s="106"/>
    </row>
    <row r="16" spans="1:14" ht="23.25" customHeight="1" x14ac:dyDescent="0.55000000000000004">
      <c r="B16" s="94" t="s">
        <v>31</v>
      </c>
      <c r="C16" s="95"/>
      <c r="D16" s="96">
        <f ca="1">INDIRECT("'جدول حقوق ودستمزد'!m"&amp;5+$G$2)</f>
        <v>0</v>
      </c>
      <c r="E16" s="96"/>
      <c r="F16" s="96"/>
      <c r="G16" s="101"/>
      <c r="H16" s="101"/>
      <c r="I16" s="105"/>
      <c r="J16" s="105"/>
      <c r="K16" s="106"/>
    </row>
    <row r="17" spans="1:11" ht="23.25" customHeight="1" x14ac:dyDescent="0.55000000000000004">
      <c r="B17" s="94" t="s">
        <v>24</v>
      </c>
      <c r="C17" s="95"/>
      <c r="D17" s="104">
        <f ca="1">SUM(D9:F16)</f>
        <v>26152058.045020465</v>
      </c>
      <c r="E17" s="104"/>
      <c r="F17" s="104"/>
      <c r="G17" s="101"/>
      <c r="H17" s="101"/>
      <c r="I17" s="105"/>
      <c r="J17" s="105"/>
      <c r="K17" s="106"/>
    </row>
    <row r="18" spans="1:11" s="6" customFormat="1" x14ac:dyDescent="0.55000000000000004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</row>
    <row r="22" spans="1:11" ht="23.25" customHeight="1" x14ac:dyDescent="0.55000000000000004"/>
    <row r="23" spans="1:11" ht="23.25" customHeight="1" x14ac:dyDescent="0.55000000000000004"/>
    <row r="24" spans="1:11" ht="23.25" customHeight="1" x14ac:dyDescent="0.55000000000000004"/>
    <row r="25" spans="1:11" ht="23.25" customHeight="1" x14ac:dyDescent="0.55000000000000004"/>
    <row r="26" spans="1:11" ht="23.25" customHeight="1" x14ac:dyDescent="0.55000000000000004"/>
    <row r="27" spans="1:11" ht="23.25" customHeight="1" x14ac:dyDescent="0.55000000000000004"/>
    <row r="28" spans="1:11" ht="23.25" customHeight="1" x14ac:dyDescent="0.55000000000000004"/>
    <row r="29" spans="1:11" ht="23.25" customHeight="1" x14ac:dyDescent="0.55000000000000004"/>
    <row r="30" spans="1:11" ht="23.25" customHeight="1" x14ac:dyDescent="0.55000000000000004"/>
    <row r="31" spans="1:11" ht="23.25" customHeight="1" x14ac:dyDescent="0.55000000000000004"/>
    <row r="32" spans="1:11" ht="23.25" customHeight="1" x14ac:dyDescent="0.55000000000000004"/>
    <row r="33" ht="39" customHeight="1" x14ac:dyDescent="0.55000000000000004"/>
    <row r="35" ht="33" customHeight="1" x14ac:dyDescent="0.55000000000000004"/>
    <row r="54" ht="27.75" customHeight="1" x14ac:dyDescent="0.55000000000000004"/>
    <row r="55" ht="27.75" customHeight="1" x14ac:dyDescent="0.55000000000000004"/>
  </sheetData>
  <mergeCells count="42">
    <mergeCell ref="B8:C8"/>
    <mergeCell ref="D8:F8"/>
    <mergeCell ref="I7:K7"/>
    <mergeCell ref="G8:H8"/>
    <mergeCell ref="I8:K8"/>
    <mergeCell ref="G7:H7"/>
    <mergeCell ref="I10:K12"/>
    <mergeCell ref="B12:C12"/>
    <mergeCell ref="D12:F12"/>
    <mergeCell ref="D17:F17"/>
    <mergeCell ref="B17:C17"/>
    <mergeCell ref="I13:K17"/>
    <mergeCell ref="G13:H17"/>
    <mergeCell ref="B13:C13"/>
    <mergeCell ref="D13:F13"/>
    <mergeCell ref="B10:C10"/>
    <mergeCell ref="D10:F10"/>
    <mergeCell ref="B11:C11"/>
    <mergeCell ref="D11:F11"/>
    <mergeCell ref="G10:H12"/>
    <mergeCell ref="B14:C14"/>
    <mergeCell ref="B16:C16"/>
    <mergeCell ref="B15:C15"/>
    <mergeCell ref="D14:F14"/>
    <mergeCell ref="D15:F15"/>
    <mergeCell ref="D16:F16"/>
    <mergeCell ref="B9:C9"/>
    <mergeCell ref="D9:F9"/>
    <mergeCell ref="N3:N4"/>
    <mergeCell ref="I9:K9"/>
    <mergeCell ref="G9:H9"/>
    <mergeCell ref="G3:K3"/>
    <mergeCell ref="G5:K5"/>
    <mergeCell ref="I6:K6"/>
    <mergeCell ref="B4:K4"/>
    <mergeCell ref="D3:F3"/>
    <mergeCell ref="B5:F5"/>
    <mergeCell ref="G6:H6"/>
    <mergeCell ref="B6:C6"/>
    <mergeCell ref="D6:F6"/>
    <mergeCell ref="B7:C7"/>
    <mergeCell ref="D7:F7"/>
  </mergeCells>
  <conditionalFormatting sqref="B3:K3">
    <cfRule type="cellIs" dxfId="3" priority="6" operator="equal">
      <formula>"تیر"</formula>
    </cfRule>
  </conditionalFormatting>
  <conditionalFormatting sqref="B3">
    <cfRule type="cellIs" dxfId="2" priority="5" operator="equal">
      <formula>"تیر"</formula>
    </cfRule>
  </conditionalFormatting>
  <conditionalFormatting sqref="C3">
    <cfRule type="cellIs" dxfId="1" priority="2" operator="equal">
      <formula>"تیر"</formula>
    </cfRule>
  </conditionalFormatting>
  <conditionalFormatting sqref="C3">
    <cfRule type="cellIs" dxfId="0" priority="1" operator="equal">
      <formula>"تیر"</formula>
    </cfRule>
  </conditionalFormatting>
  <hyperlinks>
    <hyperlink ref="N2" location="'جدول داده ها'!C24" display="جدول داده ها" xr:uid="{00000000-0004-0000-0200-000000000000}"/>
    <hyperlink ref="N3:N4" location="'جدول حقوق ودستمزد'!D1" display="جدول حقوق ودستمزد" xr:uid="{00000000-0004-0000-0200-000001000000}"/>
  </hyperlinks>
  <printOptions horizontalCentered="1" verticalCentered="1"/>
  <pageMargins left="0" right="0" top="0" bottom="0" header="0" footer="0"/>
  <pageSetup paperSize="9" orientation="portrait" horizontalDpi="1200" verticalDpi="12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796EDE-533A-4BB5-BCAF-B6E7102075FC}">
  <dimension ref="A1:B15"/>
  <sheetViews>
    <sheetView rightToLeft="1" zoomScaleNormal="100" workbookViewId="0">
      <selection activeCell="B14" sqref="B14"/>
    </sheetView>
  </sheetViews>
  <sheetFormatPr defaultRowHeight="15" x14ac:dyDescent="0.25"/>
  <cols>
    <col min="1" max="1" width="23" bestFit="1" customWidth="1"/>
    <col min="2" max="2" width="20" customWidth="1"/>
  </cols>
  <sheetData>
    <row r="1" spans="1:2" ht="15.75" thickBot="1" x14ac:dyDescent="0.3">
      <c r="A1" s="40" t="s">
        <v>94</v>
      </c>
      <c r="B1" s="41" t="s">
        <v>95</v>
      </c>
    </row>
    <row r="2" spans="1:2" ht="15.75" thickTop="1" x14ac:dyDescent="0.25">
      <c r="A2" s="42" t="s">
        <v>96</v>
      </c>
      <c r="B2" s="43">
        <v>611809</v>
      </c>
    </row>
    <row r="3" spans="1:2" x14ac:dyDescent="0.25">
      <c r="A3" s="49" t="s">
        <v>108</v>
      </c>
      <c r="B3" s="50">
        <f>B2*1.4</f>
        <v>856532.6</v>
      </c>
    </row>
    <row r="4" spans="1:2" x14ac:dyDescent="0.25">
      <c r="A4" s="44" t="s">
        <v>97</v>
      </c>
      <c r="B4" s="45">
        <v>1000000</v>
      </c>
    </row>
    <row r="5" spans="1:2" x14ac:dyDescent="0.25">
      <c r="A5" s="46" t="s">
        <v>22</v>
      </c>
      <c r="B5" s="47">
        <v>1835420</v>
      </c>
    </row>
    <row r="6" spans="1:2" x14ac:dyDescent="0.25">
      <c r="A6" s="44" t="s">
        <v>98</v>
      </c>
      <c r="B6" s="45">
        <v>1750000</v>
      </c>
    </row>
    <row r="7" spans="1:2" x14ac:dyDescent="0.25">
      <c r="A7" s="46" t="s">
        <v>99</v>
      </c>
      <c r="B7" s="47">
        <v>4000000</v>
      </c>
    </row>
    <row r="8" spans="1:2" x14ac:dyDescent="0.25">
      <c r="A8" s="44" t="s">
        <v>100</v>
      </c>
      <c r="B8" s="45">
        <v>30000000</v>
      </c>
    </row>
    <row r="9" spans="1:2" x14ac:dyDescent="0.25">
      <c r="A9" s="46" t="s">
        <v>105</v>
      </c>
      <c r="B9" s="47">
        <v>75000000</v>
      </c>
    </row>
    <row r="10" spans="1:2" x14ac:dyDescent="0.25">
      <c r="A10" s="44" t="s">
        <v>106</v>
      </c>
      <c r="B10" s="45">
        <v>105000000</v>
      </c>
    </row>
    <row r="11" spans="1:2" x14ac:dyDescent="0.25">
      <c r="A11" s="46" t="s">
        <v>107</v>
      </c>
      <c r="B11" s="47">
        <v>150000000</v>
      </c>
    </row>
    <row r="12" spans="1:2" x14ac:dyDescent="0.25">
      <c r="A12" s="44" t="s">
        <v>101</v>
      </c>
      <c r="B12" s="48">
        <v>0.1</v>
      </c>
    </row>
    <row r="13" spans="1:2" x14ac:dyDescent="0.25">
      <c r="A13" s="46" t="s">
        <v>104</v>
      </c>
      <c r="B13" s="39">
        <v>0.15</v>
      </c>
    </row>
    <row r="14" spans="1:2" x14ac:dyDescent="0.25">
      <c r="A14" s="44" t="s">
        <v>103</v>
      </c>
      <c r="B14" s="48">
        <v>0.2</v>
      </c>
    </row>
    <row r="15" spans="1:2" x14ac:dyDescent="0.25">
      <c r="A15" s="46" t="s">
        <v>102</v>
      </c>
      <c r="B15" s="39">
        <v>0.25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جدول داده ها</vt:lpstr>
      <vt:lpstr>جدول حقوق ودستمزد</vt:lpstr>
      <vt:lpstr>فیش حقوقی </vt:lpstr>
      <vt:lpstr>اقلام حقوق و دستمزد</vt:lpstr>
      <vt:lpstr>'فیش حقوقی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محاسبه حقوق و دستمزد در اکسل</dc:title>
  <dc:subject>آموزش کاربردی اکسل</dc:subject>
  <dc:creator>بیژن باقری نژاد</dc:creator>
  <cp:keywords>حقوق , دستمزد , اکسل, مالیات, Excel, فیش حقوق</cp:keywords>
  <dc:description>85/05/26</dc:description>
  <cp:lastModifiedBy>djawad Ghased</cp:lastModifiedBy>
  <cp:lastPrinted>2008-07-02T06:07:24Z</cp:lastPrinted>
  <dcterms:created xsi:type="dcterms:W3CDTF">2008-06-28T20:12:35Z</dcterms:created>
  <dcterms:modified xsi:type="dcterms:W3CDTF">2020-05-18T09:34:26Z</dcterms:modified>
</cp:coreProperties>
</file>